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435" activeTab="2"/>
  </bookViews>
  <sheets>
    <sheet name="OZ" sheetId="5" r:id="rId1"/>
    <sheet name="graf OZ" sheetId="8" r:id="rId2"/>
    <sheet name="Šaštín" sheetId="4" r:id="rId3"/>
    <sheet name="Holíč" sheetId="2" r:id="rId4"/>
    <sheet name="Mor. Ján" sheetId="3" r:id="rId5"/>
    <sheet name="Lozorno" sheetId="1" r:id="rId6"/>
    <sheet name="Sološnica" sheetId="6" r:id="rId7"/>
    <sheet name="Stupava" sheetId="9" r:id="rId8"/>
  </sheets>
  <externalReferences>
    <externalReference r:id="rId9"/>
  </externalReferences>
  <definedNames>
    <definedName name="_xlnm.Print_Area" localSheetId="3">Holíč!$A$1:$Y$70</definedName>
    <definedName name="_xlnm.Print_Area" localSheetId="4">'Mor. Ján'!$A$1:$Y$70</definedName>
    <definedName name="_xlnm.Print_Area" localSheetId="0">OZ!$A$1:$Z$92</definedName>
  </definedNames>
  <calcPr calcId="152511"/>
</workbook>
</file>

<file path=xl/calcChain.xml><?xml version="1.0" encoding="utf-8"?>
<calcChain xmlns="http://schemas.openxmlformats.org/spreadsheetml/2006/main">
  <c r="W63" i="9" l="1"/>
  <c r="W63" i="6"/>
  <c r="W63" i="1"/>
  <c r="W63" i="3"/>
  <c r="W63" i="2"/>
  <c r="W63" i="4"/>
  <c r="X85" i="5"/>
  <c r="X92" i="5"/>
  <c r="X91" i="5"/>
  <c r="W69" i="4"/>
  <c r="W70" i="4"/>
  <c r="W64" i="9"/>
  <c r="W64" i="6"/>
  <c r="W64" i="1"/>
  <c r="W64" i="3"/>
  <c r="W64" i="2"/>
  <c r="W64" i="4"/>
  <c r="X86" i="5"/>
  <c r="W70" i="9"/>
  <c r="W69" i="9"/>
  <c r="W70" i="2"/>
  <c r="W69" i="2"/>
  <c r="W84" i="5" l="1"/>
  <c r="V84" i="5"/>
  <c r="V70" i="9"/>
  <c r="V69" i="9"/>
  <c r="U70" i="9"/>
  <c r="U69" i="9"/>
  <c r="V64" i="9"/>
  <c r="V63" i="9"/>
  <c r="U64" i="9"/>
  <c r="U63" i="9"/>
  <c r="V70" i="6"/>
  <c r="V69" i="6"/>
  <c r="U70" i="6"/>
  <c r="U69" i="6"/>
  <c r="V64" i="6"/>
  <c r="V63" i="6"/>
  <c r="U64" i="6"/>
  <c r="U63" i="6"/>
  <c r="V70" i="1"/>
  <c r="V69" i="1"/>
  <c r="U70" i="1"/>
  <c r="U69" i="1"/>
  <c r="V64" i="1"/>
  <c r="V63" i="1"/>
  <c r="U64" i="1"/>
  <c r="U63" i="1"/>
  <c r="V70" i="3"/>
  <c r="V69" i="3"/>
  <c r="U70" i="3"/>
  <c r="U69" i="3"/>
  <c r="V64" i="3"/>
  <c r="V63" i="3"/>
  <c r="U64" i="3"/>
  <c r="U63" i="3"/>
  <c r="V70" i="2"/>
  <c r="V69" i="2"/>
  <c r="U70" i="2"/>
  <c r="U69" i="2"/>
  <c r="V64" i="2"/>
  <c r="V63" i="2"/>
  <c r="U64" i="2"/>
  <c r="U63" i="2"/>
  <c r="V70" i="4"/>
  <c r="V69" i="4"/>
  <c r="U70" i="4"/>
  <c r="U69" i="4"/>
  <c r="V63" i="4" l="1"/>
  <c r="U63" i="4"/>
  <c r="W19" i="5" l="1"/>
  <c r="W13" i="5"/>
  <c r="T70" i="9" l="1"/>
  <c r="T69" i="9"/>
  <c r="T64" i="9"/>
  <c r="T63" i="9"/>
  <c r="T64" i="6"/>
  <c r="T70" i="6"/>
  <c r="T69" i="6"/>
  <c r="T63" i="6"/>
  <c r="T70" i="1"/>
  <c r="T69" i="1"/>
  <c r="T64" i="1"/>
  <c r="T63" i="1"/>
  <c r="T70" i="3"/>
  <c r="T69" i="3"/>
  <c r="T64" i="3"/>
  <c r="T63" i="3"/>
  <c r="T69" i="2"/>
  <c r="T63" i="2"/>
  <c r="T70" i="4"/>
  <c r="T69" i="4"/>
  <c r="S70" i="4"/>
  <c r="S69" i="4"/>
  <c r="T63" i="4"/>
  <c r="T70" i="2" l="1"/>
  <c r="T64" i="2"/>
  <c r="U64" i="4"/>
  <c r="W90" i="5" l="1"/>
  <c r="V90" i="5"/>
  <c r="U90" i="5"/>
  <c r="T90" i="5"/>
  <c r="S90" i="5"/>
  <c r="R90" i="5"/>
  <c r="U84" i="5"/>
  <c r="T84" i="5"/>
  <c r="S84" i="5"/>
  <c r="R84" i="5"/>
  <c r="Q90" i="5"/>
  <c r="Q84" i="5"/>
  <c r="O18" i="4" l="1"/>
  <c r="W39" i="5" l="1"/>
  <c r="V39" i="5"/>
  <c r="U39" i="5"/>
  <c r="T39" i="5"/>
  <c r="S39" i="5"/>
  <c r="R39" i="5"/>
  <c r="Q39" i="5"/>
  <c r="P39" i="5"/>
  <c r="O39" i="5"/>
  <c r="W38" i="5"/>
  <c r="V38" i="5"/>
  <c r="U38" i="5"/>
  <c r="T38" i="5"/>
  <c r="S38" i="5"/>
  <c r="R38" i="5"/>
  <c r="Q38" i="5"/>
  <c r="P38" i="5"/>
  <c r="O38" i="5"/>
  <c r="W29" i="5"/>
  <c r="V29" i="5"/>
  <c r="U29" i="5"/>
  <c r="T29" i="5"/>
  <c r="S29" i="5"/>
  <c r="R29" i="5"/>
  <c r="Q29" i="5"/>
  <c r="P29" i="5"/>
  <c r="O29" i="5"/>
  <c r="W28" i="5"/>
  <c r="V28" i="5"/>
  <c r="U28" i="5"/>
  <c r="T28" i="5"/>
  <c r="S28" i="5"/>
  <c r="R28" i="5"/>
  <c r="Q28" i="5"/>
  <c r="P28" i="5"/>
  <c r="O28" i="5"/>
  <c r="W24" i="5"/>
  <c r="V24" i="5"/>
  <c r="U24" i="5"/>
  <c r="T24" i="5"/>
  <c r="S24" i="5"/>
  <c r="R24" i="5"/>
  <c r="Q24" i="5"/>
  <c r="P24" i="5"/>
  <c r="O24" i="5"/>
  <c r="W23" i="5"/>
  <c r="V23" i="5"/>
  <c r="U23" i="5"/>
  <c r="T23" i="5"/>
  <c r="S23" i="5"/>
  <c r="R23" i="5"/>
  <c r="Q23" i="5"/>
  <c r="P23" i="5"/>
  <c r="O23" i="5"/>
  <c r="W17" i="5"/>
  <c r="V17" i="5"/>
  <c r="U17" i="5"/>
  <c r="T17" i="5"/>
  <c r="S17" i="5"/>
  <c r="R17" i="5"/>
  <c r="Q17" i="5"/>
  <c r="P17" i="5"/>
  <c r="O17" i="5"/>
  <c r="W16" i="5"/>
  <c r="V16" i="5"/>
  <c r="U16" i="5"/>
  <c r="T16" i="5"/>
  <c r="S16" i="5"/>
  <c r="R16" i="5"/>
  <c r="Q16" i="5"/>
  <c r="P16" i="5"/>
  <c r="O16" i="5"/>
  <c r="O13" i="5"/>
  <c r="P13" i="5"/>
  <c r="Q13" i="5"/>
  <c r="R13" i="5"/>
  <c r="S13" i="5"/>
  <c r="T13" i="5"/>
  <c r="U13" i="5"/>
  <c r="V13" i="5"/>
  <c r="Z13" i="5"/>
  <c r="W11" i="5"/>
  <c r="V11" i="5"/>
  <c r="U11" i="5"/>
  <c r="T11" i="5"/>
  <c r="S11" i="5"/>
  <c r="R11" i="5"/>
  <c r="Q11" i="5"/>
  <c r="P11" i="5"/>
  <c r="O11" i="5"/>
  <c r="W10" i="5"/>
  <c r="V10" i="5"/>
  <c r="U10" i="5"/>
  <c r="T10" i="5"/>
  <c r="S10" i="5"/>
  <c r="R10" i="5"/>
  <c r="Q10" i="5"/>
  <c r="P10" i="5"/>
  <c r="O10" i="5"/>
  <c r="W6" i="5"/>
  <c r="V6" i="5"/>
  <c r="U6" i="5"/>
  <c r="T6" i="5"/>
  <c r="S6" i="5"/>
  <c r="R6" i="5"/>
  <c r="Q6" i="5"/>
  <c r="P6" i="5"/>
  <c r="W5" i="5"/>
  <c r="V5" i="5"/>
  <c r="U5" i="5"/>
  <c r="T5" i="5"/>
  <c r="S5" i="5"/>
  <c r="R5" i="5"/>
  <c r="Q5" i="5"/>
  <c r="P5" i="5"/>
  <c r="O6" i="5"/>
  <c r="O5" i="5"/>
  <c r="Z19" i="5" l="1"/>
  <c r="V19" i="5"/>
  <c r="U19" i="5"/>
  <c r="T19" i="5"/>
  <c r="S19" i="5"/>
  <c r="R19" i="5"/>
  <c r="Q19" i="5"/>
  <c r="P19" i="5"/>
  <c r="O19" i="5"/>
  <c r="I60" i="5"/>
  <c r="I59" i="5"/>
  <c r="I58" i="5"/>
  <c r="K53" i="5"/>
  <c r="K52" i="5"/>
  <c r="K51" i="5"/>
  <c r="I53" i="5"/>
  <c r="I52" i="5"/>
  <c r="I51" i="5"/>
  <c r="J39" i="5"/>
  <c r="I39" i="5"/>
  <c r="J38" i="5"/>
  <c r="I38" i="5"/>
  <c r="J37" i="5"/>
  <c r="I37" i="5"/>
  <c r="J29" i="5"/>
  <c r="I29" i="5"/>
  <c r="J28" i="5"/>
  <c r="I28" i="5"/>
  <c r="J27" i="5"/>
  <c r="I27" i="5"/>
  <c r="J24" i="5"/>
  <c r="I24" i="5"/>
  <c r="J23" i="5"/>
  <c r="I23" i="5"/>
  <c r="J22" i="5"/>
  <c r="I22" i="5"/>
  <c r="L18" i="5"/>
  <c r="L17" i="5"/>
  <c r="L16" i="5"/>
  <c r="J18" i="5"/>
  <c r="I18" i="5"/>
  <c r="J17" i="5"/>
  <c r="I17" i="5"/>
  <c r="J16" i="5"/>
  <c r="I16" i="5"/>
  <c r="L12" i="5"/>
  <c r="L11" i="5"/>
  <c r="L10" i="5"/>
  <c r="J12" i="5"/>
  <c r="I12" i="5"/>
  <c r="J11" i="5"/>
  <c r="I11" i="5"/>
  <c r="J10" i="5"/>
  <c r="I10" i="5"/>
  <c r="J6" i="5"/>
  <c r="I6" i="5"/>
  <c r="J5" i="5"/>
  <c r="I5" i="5"/>
  <c r="J4" i="5"/>
  <c r="I4" i="5"/>
  <c r="E67" i="5"/>
  <c r="D67" i="5"/>
  <c r="C67" i="5"/>
  <c r="E66" i="5"/>
  <c r="D66" i="5"/>
  <c r="C66" i="5"/>
  <c r="E64" i="5"/>
  <c r="D64" i="5"/>
  <c r="C64" i="5"/>
  <c r="E62" i="5"/>
  <c r="D62" i="5"/>
  <c r="C62" i="5"/>
  <c r="E61" i="5"/>
  <c r="D61" i="5"/>
  <c r="C61" i="5"/>
  <c r="E58" i="5"/>
  <c r="D58" i="5"/>
  <c r="C58" i="5"/>
  <c r="E56" i="5"/>
  <c r="D56" i="5"/>
  <c r="C56" i="5"/>
  <c r="E55" i="5"/>
  <c r="D55" i="5"/>
  <c r="C55" i="5"/>
  <c r="E52" i="5"/>
  <c r="D52" i="5"/>
  <c r="C52" i="5"/>
  <c r="E51" i="5"/>
  <c r="D51" i="5"/>
  <c r="C51" i="5"/>
  <c r="E48" i="5"/>
  <c r="D48" i="5"/>
  <c r="C48" i="5"/>
  <c r="E47" i="5"/>
  <c r="D47" i="5"/>
  <c r="C47" i="5"/>
  <c r="E46" i="5"/>
  <c r="D46" i="5"/>
  <c r="C46" i="5"/>
  <c r="E44" i="5"/>
  <c r="D44" i="5"/>
  <c r="C44" i="5"/>
  <c r="E43" i="5"/>
  <c r="D43" i="5"/>
  <c r="C43" i="5"/>
  <c r="E39" i="5"/>
  <c r="D39" i="5"/>
  <c r="C39" i="5"/>
  <c r="E38" i="5"/>
  <c r="D38" i="5"/>
  <c r="C38" i="5"/>
  <c r="E29" i="5"/>
  <c r="D29" i="5"/>
  <c r="C29" i="5"/>
  <c r="E28" i="5"/>
  <c r="D28" i="5"/>
  <c r="C28" i="5"/>
  <c r="E24" i="5"/>
  <c r="D24" i="5"/>
  <c r="C24" i="5"/>
  <c r="E23" i="5"/>
  <c r="D23" i="5"/>
  <c r="C23" i="5"/>
  <c r="E19" i="5"/>
  <c r="D19" i="5"/>
  <c r="C19" i="5"/>
  <c r="E17" i="5"/>
  <c r="D17" i="5"/>
  <c r="C17" i="5"/>
  <c r="E16" i="5"/>
  <c r="D16" i="5"/>
  <c r="C16" i="5"/>
  <c r="E13" i="5"/>
  <c r="D13" i="5"/>
  <c r="C13" i="5"/>
  <c r="E11" i="5"/>
  <c r="D11" i="5"/>
  <c r="C11" i="5"/>
  <c r="E10" i="5"/>
  <c r="D10" i="5"/>
  <c r="C10" i="5"/>
  <c r="E5" i="5"/>
  <c r="D5" i="5"/>
  <c r="E6" i="5"/>
  <c r="D6" i="5"/>
  <c r="C6" i="5"/>
  <c r="C5" i="5"/>
  <c r="S70" i="9"/>
  <c r="R70" i="9"/>
  <c r="Q70" i="9"/>
  <c r="P70" i="9"/>
  <c r="O70" i="9"/>
  <c r="N70" i="9"/>
  <c r="S69" i="9"/>
  <c r="R69" i="9"/>
  <c r="Q69" i="9"/>
  <c r="P69" i="9"/>
  <c r="O69" i="9"/>
  <c r="N69" i="9"/>
  <c r="F67" i="9"/>
  <c r="F66" i="9"/>
  <c r="E65" i="9"/>
  <c r="Y64" i="9"/>
  <c r="Y70" i="9" s="1"/>
  <c r="X64" i="9"/>
  <c r="X70" i="9" s="1"/>
  <c r="S64" i="9"/>
  <c r="R64" i="9"/>
  <c r="Q64" i="9"/>
  <c r="P64" i="9"/>
  <c r="O64" i="9"/>
  <c r="N64" i="9"/>
  <c r="F64" i="9"/>
  <c r="S63" i="9"/>
  <c r="R63" i="9"/>
  <c r="Q63" i="9"/>
  <c r="P63" i="9"/>
  <c r="O63" i="9"/>
  <c r="N63" i="9"/>
  <c r="E63" i="9"/>
  <c r="D63" i="9"/>
  <c r="D65" i="9" s="1"/>
  <c r="C63" i="9"/>
  <c r="C65" i="9" s="1"/>
  <c r="Y62" i="9"/>
  <c r="Y68" i="9" s="1"/>
  <c r="X62" i="9"/>
  <c r="X68" i="9" s="1"/>
  <c r="F62" i="9"/>
  <c r="F61" i="9"/>
  <c r="E59" i="9"/>
  <c r="F58" i="9"/>
  <c r="E57" i="9"/>
  <c r="D57" i="9"/>
  <c r="D59" i="9" s="1"/>
  <c r="C57" i="9"/>
  <c r="C59" i="9" s="1"/>
  <c r="F56" i="9"/>
  <c r="F55" i="9"/>
  <c r="E53" i="9"/>
  <c r="D53" i="9"/>
  <c r="C53" i="9"/>
  <c r="F52" i="9"/>
  <c r="F51" i="9"/>
  <c r="F48" i="9"/>
  <c r="I62" i="9" s="1"/>
  <c r="I61" i="9" s="1"/>
  <c r="F47" i="9"/>
  <c r="K55" i="9" s="1"/>
  <c r="K54" i="9" s="1"/>
  <c r="F46" i="9"/>
  <c r="I55" i="9" s="1"/>
  <c r="I54" i="9" s="1"/>
  <c r="E45" i="9"/>
  <c r="D45" i="9"/>
  <c r="C45" i="9"/>
  <c r="F44" i="9"/>
  <c r="F43" i="9"/>
  <c r="V40" i="9"/>
  <c r="U40" i="9"/>
  <c r="T40" i="9"/>
  <c r="S40" i="9"/>
  <c r="R40" i="9"/>
  <c r="Q40" i="9"/>
  <c r="P40" i="9"/>
  <c r="O40" i="9"/>
  <c r="N40" i="9"/>
  <c r="E40" i="9"/>
  <c r="D40" i="9"/>
  <c r="C40" i="9"/>
  <c r="Y39" i="9"/>
  <c r="X39" i="9"/>
  <c r="K39" i="9"/>
  <c r="F39" i="9"/>
  <c r="J41" i="9" s="1"/>
  <c r="J40" i="9" s="1"/>
  <c r="Y38" i="9"/>
  <c r="X38" i="9"/>
  <c r="K38" i="9"/>
  <c r="F38" i="9"/>
  <c r="I41" i="9" s="1"/>
  <c r="K37" i="9"/>
  <c r="V34" i="9"/>
  <c r="V45" i="9" s="1"/>
  <c r="U34" i="9"/>
  <c r="U45" i="9" s="1"/>
  <c r="T34" i="9"/>
  <c r="T45" i="9" s="1"/>
  <c r="S34" i="9"/>
  <c r="S45" i="9" s="1"/>
  <c r="R34" i="9"/>
  <c r="R45" i="9" s="1"/>
  <c r="Q34" i="9"/>
  <c r="P34" i="9"/>
  <c r="P45" i="9" s="1"/>
  <c r="O34" i="9"/>
  <c r="O45" i="9" s="1"/>
  <c r="N34" i="9"/>
  <c r="N45" i="9" s="1"/>
  <c r="J34" i="9"/>
  <c r="J46" i="9" s="1"/>
  <c r="I34" i="9"/>
  <c r="I46" i="9" s="1"/>
  <c r="E34" i="9"/>
  <c r="D34" i="9"/>
  <c r="C34" i="9"/>
  <c r="V33" i="9"/>
  <c r="V44" i="9" s="1"/>
  <c r="U33" i="9"/>
  <c r="U44" i="9" s="1"/>
  <c r="T33" i="9"/>
  <c r="T44" i="9" s="1"/>
  <c r="S33" i="9"/>
  <c r="S44" i="9" s="1"/>
  <c r="R33" i="9"/>
  <c r="R44" i="9" s="1"/>
  <c r="Q33" i="9"/>
  <c r="Q44" i="9" s="1"/>
  <c r="P33" i="9"/>
  <c r="O33" i="9"/>
  <c r="O44" i="9" s="1"/>
  <c r="N33" i="9"/>
  <c r="N44" i="9" s="1"/>
  <c r="J33" i="9"/>
  <c r="J45" i="9" s="1"/>
  <c r="I33" i="9"/>
  <c r="I45" i="9" s="1"/>
  <c r="E33" i="9"/>
  <c r="D33" i="9"/>
  <c r="C33" i="9"/>
  <c r="J32" i="9"/>
  <c r="J44" i="9" s="1"/>
  <c r="I32" i="9"/>
  <c r="I44" i="9" s="1"/>
  <c r="V30" i="9"/>
  <c r="U30" i="9"/>
  <c r="T30" i="9"/>
  <c r="S30" i="9"/>
  <c r="R30" i="9"/>
  <c r="Q30" i="9"/>
  <c r="P30" i="9"/>
  <c r="O30" i="9"/>
  <c r="N30" i="9"/>
  <c r="E30" i="9"/>
  <c r="D30" i="9"/>
  <c r="C30" i="9"/>
  <c r="Y29" i="9"/>
  <c r="X29" i="9"/>
  <c r="W29" i="9"/>
  <c r="K29" i="9"/>
  <c r="F29" i="9"/>
  <c r="J31" i="9" s="1"/>
  <c r="Y28" i="9"/>
  <c r="X28" i="9"/>
  <c r="W28" i="9"/>
  <c r="K28" i="9"/>
  <c r="F28" i="9"/>
  <c r="I31" i="9" s="1"/>
  <c r="I30" i="9" s="1"/>
  <c r="K27" i="9"/>
  <c r="V25" i="9"/>
  <c r="U25" i="9"/>
  <c r="T25" i="9"/>
  <c r="S25" i="9"/>
  <c r="R25" i="9"/>
  <c r="Q25" i="9"/>
  <c r="P25" i="9"/>
  <c r="O25" i="9"/>
  <c r="N25" i="9"/>
  <c r="E25" i="9"/>
  <c r="D25" i="9"/>
  <c r="C25" i="9"/>
  <c r="Y24" i="9"/>
  <c r="X24" i="9"/>
  <c r="K24" i="9"/>
  <c r="F24" i="9"/>
  <c r="Y23" i="9"/>
  <c r="X23" i="9"/>
  <c r="K23" i="9"/>
  <c r="F23" i="9"/>
  <c r="I26" i="9" s="1"/>
  <c r="K22" i="9"/>
  <c r="F21" i="9"/>
  <c r="E20" i="9"/>
  <c r="D20" i="9"/>
  <c r="Y19" i="9"/>
  <c r="X19" i="9"/>
  <c r="F19" i="9"/>
  <c r="L20" i="9" s="1"/>
  <c r="L19" i="9" s="1"/>
  <c r="V18" i="9"/>
  <c r="U18" i="9"/>
  <c r="T18" i="9"/>
  <c r="S18" i="9"/>
  <c r="R18" i="9"/>
  <c r="Q18" i="9"/>
  <c r="P18" i="9"/>
  <c r="O18" i="9"/>
  <c r="N18" i="9"/>
  <c r="K18" i="9"/>
  <c r="E18" i="9"/>
  <c r="D18" i="9"/>
  <c r="C18" i="9"/>
  <c r="C20" i="9" s="1"/>
  <c r="Y17" i="9"/>
  <c r="X17" i="9"/>
  <c r="K17" i="9"/>
  <c r="F17" i="9"/>
  <c r="J20" i="9" s="1"/>
  <c r="J19" i="9" s="1"/>
  <c r="Y16" i="9"/>
  <c r="X16" i="9"/>
  <c r="K16" i="9"/>
  <c r="F16" i="9"/>
  <c r="I20" i="9" s="1"/>
  <c r="E14" i="9"/>
  <c r="D14" i="9"/>
  <c r="Y13" i="9"/>
  <c r="X13" i="9"/>
  <c r="F13" i="9"/>
  <c r="L14" i="9" s="1"/>
  <c r="L13" i="9" s="1"/>
  <c r="V12" i="9"/>
  <c r="U12" i="9"/>
  <c r="T12" i="9"/>
  <c r="S12" i="9"/>
  <c r="R12" i="9"/>
  <c r="Q12" i="9"/>
  <c r="P12" i="9"/>
  <c r="O12" i="9"/>
  <c r="N12" i="9"/>
  <c r="K12" i="9"/>
  <c r="E12" i="9"/>
  <c r="D12" i="9"/>
  <c r="C12" i="9"/>
  <c r="Y11" i="9"/>
  <c r="X11" i="9"/>
  <c r="K11" i="9"/>
  <c r="F11" i="9"/>
  <c r="J14" i="9" s="1"/>
  <c r="J13" i="9" s="1"/>
  <c r="Y10" i="9"/>
  <c r="X10" i="9"/>
  <c r="K10" i="9"/>
  <c r="F10" i="9"/>
  <c r="I14" i="9" s="1"/>
  <c r="I13" i="9" s="1"/>
  <c r="V7" i="9"/>
  <c r="U7" i="9"/>
  <c r="T7" i="9"/>
  <c r="S7" i="9"/>
  <c r="R7" i="9"/>
  <c r="Q7" i="9"/>
  <c r="P7" i="9"/>
  <c r="O7" i="9"/>
  <c r="N7" i="9"/>
  <c r="E7" i="9"/>
  <c r="D7" i="9"/>
  <c r="C7" i="9"/>
  <c r="Y6" i="9"/>
  <c r="X6" i="9"/>
  <c r="K6" i="9"/>
  <c r="F6" i="9"/>
  <c r="J8" i="9" s="1"/>
  <c r="J7" i="9" s="1"/>
  <c r="Y5" i="9"/>
  <c r="X5" i="9"/>
  <c r="K5" i="9"/>
  <c r="F5" i="9"/>
  <c r="I8" i="9" s="1"/>
  <c r="K4" i="9"/>
  <c r="V91" i="5" l="1"/>
  <c r="W92" i="5"/>
  <c r="W91" i="5"/>
  <c r="V92" i="5"/>
  <c r="V85" i="5"/>
  <c r="W86" i="5"/>
  <c r="V86" i="5"/>
  <c r="W85" i="5"/>
  <c r="U92" i="5"/>
  <c r="U91" i="5"/>
  <c r="U85" i="5"/>
  <c r="P35" i="9"/>
  <c r="X25" i="9"/>
  <c r="Y34" i="9"/>
  <c r="Y45" i="9" s="1"/>
  <c r="Y12" i="9"/>
  <c r="Y40" i="9"/>
  <c r="W18" i="9"/>
  <c r="X12" i="9"/>
  <c r="F25" i="9"/>
  <c r="W30" i="9"/>
  <c r="P44" i="9"/>
  <c r="P50" i="9" s="1"/>
  <c r="X18" i="9"/>
  <c r="F30" i="9"/>
  <c r="E35" i="9"/>
  <c r="Q35" i="9"/>
  <c r="Y33" i="9"/>
  <c r="X34" i="9"/>
  <c r="X45" i="9" s="1"/>
  <c r="F12" i="9"/>
  <c r="F14" i="9" s="1"/>
  <c r="W25" i="9"/>
  <c r="X30" i="9"/>
  <c r="W40" i="9"/>
  <c r="K31" i="9"/>
  <c r="Q45" i="9"/>
  <c r="Q51" i="9" s="1"/>
  <c r="W12" i="9"/>
  <c r="J26" i="9"/>
  <c r="J25" i="9" s="1"/>
  <c r="T35" i="9"/>
  <c r="X33" i="9"/>
  <c r="X44" i="9" s="1"/>
  <c r="W34" i="9"/>
  <c r="W45" i="9" s="1"/>
  <c r="U35" i="9"/>
  <c r="F45" i="9"/>
  <c r="W33" i="9"/>
  <c r="W44" i="9" s="1"/>
  <c r="Y18" i="9"/>
  <c r="Y25" i="9"/>
  <c r="Y30" i="9"/>
  <c r="D35" i="9"/>
  <c r="X40" i="9"/>
  <c r="F53" i="9"/>
  <c r="K44" i="9"/>
  <c r="K32" i="9"/>
  <c r="F57" i="9"/>
  <c r="F59" i="9" s="1"/>
  <c r="F40" i="9"/>
  <c r="F18" i="9"/>
  <c r="F20" i="9" s="1"/>
  <c r="C35" i="9"/>
  <c r="C14" i="9"/>
  <c r="F7" i="9"/>
  <c r="F33" i="9"/>
  <c r="F34" i="9"/>
  <c r="K45" i="9"/>
  <c r="N51" i="9"/>
  <c r="R51" i="9"/>
  <c r="V51" i="9"/>
  <c r="K41" i="9"/>
  <c r="I40" i="9"/>
  <c r="K40" i="9" s="1"/>
  <c r="I25" i="9"/>
  <c r="S50" i="9"/>
  <c r="S46" i="9"/>
  <c r="I7" i="9"/>
  <c r="K8" i="9"/>
  <c r="K20" i="9"/>
  <c r="I19" i="9"/>
  <c r="K19" i="9" s="1"/>
  <c r="Q50" i="9"/>
  <c r="U50" i="9"/>
  <c r="U46" i="9"/>
  <c r="O51" i="9"/>
  <c r="S51" i="9"/>
  <c r="O50" i="9"/>
  <c r="O46" i="9"/>
  <c r="N50" i="9"/>
  <c r="N46" i="9"/>
  <c r="R50" i="9"/>
  <c r="R46" i="9"/>
  <c r="V50" i="9"/>
  <c r="V46" i="9"/>
  <c r="K46" i="9"/>
  <c r="P51" i="9"/>
  <c r="T51" i="9"/>
  <c r="T50" i="9"/>
  <c r="X7" i="9"/>
  <c r="K14" i="9"/>
  <c r="K13" i="9" s="1"/>
  <c r="K34" i="9"/>
  <c r="N35" i="9"/>
  <c r="R35" i="9"/>
  <c r="V35" i="9"/>
  <c r="Y7" i="9"/>
  <c r="W7" i="9"/>
  <c r="K33" i="9"/>
  <c r="O35" i="9"/>
  <c r="S35" i="9"/>
  <c r="U51" i="9"/>
  <c r="F63" i="9"/>
  <c r="F65" i="9" s="1"/>
  <c r="T46" i="9"/>
  <c r="J30" i="9"/>
  <c r="I32" i="3"/>
  <c r="Y35" i="9" l="1"/>
  <c r="K26" i="9"/>
  <c r="P46" i="9"/>
  <c r="P52" i="9" s="1"/>
  <c r="Q46" i="9"/>
  <c r="Q52" i="9" s="1"/>
  <c r="X35" i="9"/>
  <c r="Y44" i="9"/>
  <c r="Y46" i="9" s="1"/>
  <c r="W35" i="9"/>
  <c r="W46" i="9"/>
  <c r="X46" i="9"/>
  <c r="F35" i="9"/>
  <c r="J35" i="9"/>
  <c r="J36" i="9" s="1"/>
  <c r="J48" i="9" s="1"/>
  <c r="J47" i="9" s="1"/>
  <c r="W51" i="9" s="1"/>
  <c r="K30" i="9"/>
  <c r="K25" i="9"/>
  <c r="V52" i="9"/>
  <c r="S52" i="9"/>
  <c r="O52" i="9"/>
  <c r="T52" i="9"/>
  <c r="N52" i="9"/>
  <c r="I35" i="9"/>
  <c r="K7" i="9"/>
  <c r="R52" i="9"/>
  <c r="U52" i="9"/>
  <c r="E63" i="4"/>
  <c r="D63" i="4"/>
  <c r="C63" i="4"/>
  <c r="C53" i="4"/>
  <c r="W57" i="9" l="1"/>
  <c r="O57" i="9"/>
  <c r="U57" i="9"/>
  <c r="P57" i="9"/>
  <c r="N57" i="9"/>
  <c r="R57" i="9"/>
  <c r="T57" i="9"/>
  <c r="V57" i="9"/>
  <c r="Q57" i="9"/>
  <c r="S57" i="9"/>
  <c r="K35" i="9"/>
  <c r="I36" i="9"/>
  <c r="V64" i="4"/>
  <c r="K36" i="9" l="1"/>
  <c r="I48" i="9"/>
  <c r="W56" i="9" s="1"/>
  <c r="T64" i="4"/>
  <c r="S64" i="4"/>
  <c r="K48" i="9" l="1"/>
  <c r="I47" i="9"/>
  <c r="S56" i="9"/>
  <c r="T56" i="9"/>
  <c r="P56" i="9"/>
  <c r="U56" i="9"/>
  <c r="V56" i="9"/>
  <c r="Q56" i="9"/>
  <c r="R56" i="9"/>
  <c r="O56" i="9"/>
  <c r="N56" i="9"/>
  <c r="S70" i="6"/>
  <c r="S69" i="6"/>
  <c r="S64" i="6"/>
  <c r="S63" i="6"/>
  <c r="S70" i="1"/>
  <c r="S69" i="1"/>
  <c r="S64" i="1"/>
  <c r="S63" i="1"/>
  <c r="S70" i="3"/>
  <c r="S69" i="3"/>
  <c r="S64" i="3"/>
  <c r="S63" i="3"/>
  <c r="S70" i="2"/>
  <c r="S69" i="2"/>
  <c r="S64" i="2"/>
  <c r="R64" i="2"/>
  <c r="S63" i="2"/>
  <c r="Q64" i="2"/>
  <c r="R70" i="4"/>
  <c r="R69" i="4"/>
  <c r="R64" i="4"/>
  <c r="S63" i="4"/>
  <c r="R63" i="4"/>
  <c r="W58" i="9" l="1"/>
  <c r="K47" i="9"/>
  <c r="W52" i="9" s="1"/>
  <c r="W50" i="9"/>
  <c r="S58" i="9"/>
  <c r="O58" i="9"/>
  <c r="N58" i="9"/>
  <c r="Q58" i="9"/>
  <c r="U58" i="9"/>
  <c r="V58" i="9"/>
  <c r="R58" i="9"/>
  <c r="P58" i="9"/>
  <c r="T58" i="9"/>
  <c r="R70" i="6" l="1"/>
  <c r="R69" i="6"/>
  <c r="R64" i="6"/>
  <c r="R63" i="6"/>
  <c r="Q64" i="6"/>
  <c r="Q63" i="6"/>
  <c r="R70" i="1"/>
  <c r="R69" i="1"/>
  <c r="R64" i="1"/>
  <c r="R63" i="1"/>
  <c r="Q64" i="1"/>
  <c r="Q63" i="1"/>
  <c r="R70" i="3"/>
  <c r="R69" i="3"/>
  <c r="R64" i="3"/>
  <c r="R63" i="3"/>
  <c r="Q64" i="3"/>
  <c r="Q63" i="3"/>
  <c r="R70" i="2"/>
  <c r="R69" i="2"/>
  <c r="N69" i="4"/>
  <c r="Q69" i="2"/>
  <c r="R63" i="2"/>
  <c r="Q63" i="2"/>
  <c r="Q69" i="4"/>
  <c r="Q64" i="4"/>
  <c r="Q63" i="4"/>
  <c r="Q70" i="6" l="1"/>
  <c r="Q69" i="6"/>
  <c r="Q70" i="1"/>
  <c r="Q69" i="1"/>
  <c r="Q70" i="3"/>
  <c r="Q69" i="3"/>
  <c r="Q70" i="2"/>
  <c r="Q70" i="4"/>
  <c r="P70" i="6" l="1"/>
  <c r="O70" i="6"/>
  <c r="N70" i="6"/>
  <c r="P64" i="6"/>
  <c r="O64" i="6"/>
  <c r="P70" i="1"/>
  <c r="O70" i="1"/>
  <c r="N70" i="1"/>
  <c r="P64" i="1"/>
  <c r="O64" i="1"/>
  <c r="N64" i="1"/>
  <c r="P70" i="3"/>
  <c r="O70" i="3"/>
  <c r="N70" i="3"/>
  <c r="P64" i="3"/>
  <c r="O64" i="3"/>
  <c r="N64" i="3"/>
  <c r="P70" i="2"/>
  <c r="O70" i="2"/>
  <c r="N70" i="2"/>
  <c r="P64" i="2"/>
  <c r="O64" i="2"/>
  <c r="N64" i="2"/>
  <c r="P70" i="4"/>
  <c r="O70" i="4"/>
  <c r="N70" i="4"/>
  <c r="P64" i="4"/>
  <c r="O64" i="4"/>
  <c r="N64" i="4"/>
  <c r="O69" i="3" l="1"/>
  <c r="P90" i="5" l="1"/>
  <c r="O90" i="5"/>
  <c r="P84" i="5"/>
  <c r="O84" i="5"/>
  <c r="O69" i="6" l="1"/>
  <c r="N69" i="6"/>
  <c r="P69" i="6"/>
  <c r="Y64" i="6"/>
  <c r="Y70" i="6" s="1"/>
  <c r="X64" i="6"/>
  <c r="X70" i="6" s="1"/>
  <c r="P63" i="6"/>
  <c r="O63" i="6"/>
  <c r="N63" i="6"/>
  <c r="Y62" i="6"/>
  <c r="Y68" i="6" s="1"/>
  <c r="X62" i="6"/>
  <c r="X68" i="6" s="1"/>
  <c r="O69" i="1"/>
  <c r="N69" i="1"/>
  <c r="Y64" i="1"/>
  <c r="Y70" i="1" s="1"/>
  <c r="X64" i="1"/>
  <c r="X70" i="1" s="1"/>
  <c r="P63" i="1"/>
  <c r="O63" i="1"/>
  <c r="N63" i="1"/>
  <c r="Y62" i="1"/>
  <c r="Y68" i="1" s="1"/>
  <c r="X62" i="1"/>
  <c r="X68" i="1" s="1"/>
  <c r="N69" i="3"/>
  <c r="P69" i="3"/>
  <c r="Y64" i="3"/>
  <c r="Y70" i="3" s="1"/>
  <c r="X64" i="3"/>
  <c r="X70" i="3" s="1"/>
  <c r="P63" i="3"/>
  <c r="O63" i="3"/>
  <c r="N63" i="3"/>
  <c r="Y62" i="3"/>
  <c r="Y68" i="3" s="1"/>
  <c r="X62" i="3"/>
  <c r="X68" i="3" s="1"/>
  <c r="O69" i="2"/>
  <c r="N69" i="2"/>
  <c r="P69" i="2"/>
  <c r="Y64" i="2"/>
  <c r="Y70" i="2" s="1"/>
  <c r="X64" i="2"/>
  <c r="X70" i="2" s="1"/>
  <c r="P63" i="2"/>
  <c r="O63" i="2"/>
  <c r="N63" i="2"/>
  <c r="Y62" i="2"/>
  <c r="X62" i="2"/>
  <c r="N63" i="4"/>
  <c r="O63" i="4"/>
  <c r="P63" i="4"/>
  <c r="O69" i="4"/>
  <c r="X64" i="4"/>
  <c r="X70" i="4" s="1"/>
  <c r="Z86" i="5"/>
  <c r="Z92" i="5" s="1"/>
  <c r="Y86" i="5"/>
  <c r="Y92" i="5" s="1"/>
  <c r="W70" i="6" l="1"/>
  <c r="W69" i="6"/>
  <c r="Y68" i="2"/>
  <c r="Z90" i="5" s="1"/>
  <c r="Z84" i="5"/>
  <c r="X68" i="2"/>
  <c r="Y90" i="5" s="1"/>
  <c r="Y84" i="5"/>
  <c r="P69" i="1"/>
  <c r="P69" i="4"/>
  <c r="Y72" i="5"/>
  <c r="Z72" i="5"/>
  <c r="Y73" i="5"/>
  <c r="Z73" i="5"/>
  <c r="O33" i="5" l="1"/>
  <c r="Z45" i="5"/>
  <c r="Y45" i="5"/>
  <c r="X45" i="5"/>
  <c r="W45" i="5"/>
  <c r="V45" i="5"/>
  <c r="U45" i="5"/>
  <c r="T45" i="5"/>
  <c r="S45" i="5"/>
  <c r="R45" i="5"/>
  <c r="Q45" i="5"/>
  <c r="P45" i="5"/>
  <c r="O45" i="5"/>
  <c r="V40" i="5"/>
  <c r="U40" i="5"/>
  <c r="T40" i="5"/>
  <c r="S40" i="5"/>
  <c r="R40" i="5"/>
  <c r="Q40" i="5"/>
  <c r="P40" i="5"/>
  <c r="O40" i="5"/>
  <c r="V30" i="5"/>
  <c r="U30" i="5"/>
  <c r="T30" i="5"/>
  <c r="S30" i="5"/>
  <c r="R30" i="5"/>
  <c r="Q30" i="5"/>
  <c r="P30" i="5"/>
  <c r="O30" i="5"/>
  <c r="P34" i="5"/>
  <c r="V25" i="5"/>
  <c r="U25" i="5"/>
  <c r="T25" i="5"/>
  <c r="S25" i="5"/>
  <c r="R25" i="5"/>
  <c r="Q25" i="5"/>
  <c r="P25" i="5"/>
  <c r="O25" i="5"/>
  <c r="P18" i="5"/>
  <c r="V18" i="5"/>
  <c r="U18" i="5"/>
  <c r="T18" i="5"/>
  <c r="S18" i="5"/>
  <c r="R18" i="5"/>
  <c r="Q18" i="5"/>
  <c r="O18" i="5"/>
  <c r="P12" i="5"/>
  <c r="V12" i="5"/>
  <c r="U12" i="5"/>
  <c r="T12" i="5"/>
  <c r="S12" i="5"/>
  <c r="R12" i="5"/>
  <c r="Q12" i="5"/>
  <c r="O12" i="5"/>
  <c r="V34" i="5"/>
  <c r="U34" i="5"/>
  <c r="T34" i="5"/>
  <c r="S34" i="5"/>
  <c r="R34" i="5"/>
  <c r="Q34" i="5"/>
  <c r="O34" i="5"/>
  <c r="V33" i="5"/>
  <c r="U7" i="5"/>
  <c r="T7" i="5"/>
  <c r="S33" i="5"/>
  <c r="R33" i="5"/>
  <c r="Q7" i="5"/>
  <c r="P7" i="5"/>
  <c r="Z74" i="5" l="1"/>
  <c r="Y74" i="5"/>
  <c r="P49" i="5"/>
  <c r="C45" i="8" s="1"/>
  <c r="T49" i="5"/>
  <c r="C49" i="8" s="1"/>
  <c r="R48" i="5"/>
  <c r="C27" i="8" s="1"/>
  <c r="R35" i="5"/>
  <c r="P33" i="5"/>
  <c r="U49" i="5"/>
  <c r="C50" i="8" s="1"/>
  <c r="V48" i="5"/>
  <c r="C31" i="8" s="1"/>
  <c r="V35" i="5"/>
  <c r="R49" i="5"/>
  <c r="C47" i="8" s="1"/>
  <c r="V49" i="5"/>
  <c r="C51" i="8" s="1"/>
  <c r="O48" i="5"/>
  <c r="O35" i="5"/>
  <c r="S48" i="5"/>
  <c r="S35" i="5"/>
  <c r="O49" i="5"/>
  <c r="S49" i="5"/>
  <c r="T33" i="5"/>
  <c r="Q49" i="5"/>
  <c r="C46" i="8" s="1"/>
  <c r="Q33" i="5"/>
  <c r="U33" i="5"/>
  <c r="R7" i="5"/>
  <c r="V7" i="5"/>
  <c r="O7" i="5"/>
  <c r="S7" i="5"/>
  <c r="C28" i="8" l="1"/>
  <c r="C48" i="8"/>
  <c r="C24" i="8"/>
  <c r="C44" i="8"/>
  <c r="U48" i="5"/>
  <c r="C30" i="8" s="1"/>
  <c r="U35" i="5"/>
  <c r="P35" i="5"/>
  <c r="P48" i="5"/>
  <c r="C25" i="8" s="1"/>
  <c r="Q48" i="5"/>
  <c r="C26" i="8" s="1"/>
  <c r="Q35" i="5"/>
  <c r="T48" i="5"/>
  <c r="T35" i="5"/>
  <c r="R50" i="5"/>
  <c r="C7" i="8" s="1"/>
  <c r="S50" i="5"/>
  <c r="C8" i="8" s="1"/>
  <c r="O50" i="5"/>
  <c r="V50" i="5"/>
  <c r="C11" i="8" s="1"/>
  <c r="C29" i="8" l="1"/>
  <c r="C4" i="8"/>
  <c r="P50" i="5"/>
  <c r="C5" i="8" s="1"/>
  <c r="U50" i="5"/>
  <c r="C10" i="8" s="1"/>
  <c r="T50" i="5"/>
  <c r="C9" i="8" s="1"/>
  <c r="Q50" i="5"/>
  <c r="C6" i="8" s="1"/>
  <c r="E65" i="4" l="1"/>
  <c r="D65" i="4"/>
  <c r="C65" i="4"/>
  <c r="F64" i="4"/>
  <c r="F63" i="4"/>
  <c r="F62" i="4"/>
  <c r="F61" i="4"/>
  <c r="F58" i="4"/>
  <c r="E57" i="4"/>
  <c r="E59" i="4" s="1"/>
  <c r="D57" i="4"/>
  <c r="D59" i="4" s="1"/>
  <c r="C57" i="4"/>
  <c r="C59" i="4" s="1"/>
  <c r="F56" i="4"/>
  <c r="F55" i="4"/>
  <c r="E53" i="4"/>
  <c r="D53" i="4"/>
  <c r="F52" i="4"/>
  <c r="F51" i="4"/>
  <c r="F57" i="4" l="1"/>
  <c r="F59" i="4" s="1"/>
  <c r="F53" i="4"/>
  <c r="F65" i="4"/>
  <c r="F64" i="2"/>
  <c r="E63" i="2"/>
  <c r="E65" i="2" s="1"/>
  <c r="D63" i="2"/>
  <c r="D65" i="2" s="1"/>
  <c r="C63" i="2"/>
  <c r="F62" i="2"/>
  <c r="F61" i="2"/>
  <c r="F58" i="2"/>
  <c r="E57" i="2"/>
  <c r="E59" i="2" s="1"/>
  <c r="D57" i="2"/>
  <c r="D59" i="2" s="1"/>
  <c r="C57" i="2"/>
  <c r="C59" i="2" s="1"/>
  <c r="F56" i="2"/>
  <c r="F55" i="2"/>
  <c r="E53" i="2"/>
  <c r="D53" i="2"/>
  <c r="C53" i="2"/>
  <c r="F52" i="2"/>
  <c r="F51" i="2"/>
  <c r="K66" i="2" l="1"/>
  <c r="K67" i="2"/>
  <c r="F53" i="2"/>
  <c r="F57" i="2"/>
  <c r="F59" i="2" s="1"/>
  <c r="F63" i="2"/>
  <c r="F65" i="2" s="1"/>
  <c r="C65" i="2"/>
  <c r="K68" i="2" l="1"/>
  <c r="E65" i="6"/>
  <c r="D65" i="6"/>
  <c r="F64" i="6"/>
  <c r="E63" i="6"/>
  <c r="D63" i="6"/>
  <c r="C63" i="6"/>
  <c r="F62" i="6"/>
  <c r="F61" i="6"/>
  <c r="E59" i="6"/>
  <c r="D59" i="6"/>
  <c r="F58" i="6"/>
  <c r="E57" i="6"/>
  <c r="D57" i="6"/>
  <c r="C57" i="6"/>
  <c r="F56" i="6"/>
  <c r="F55" i="6"/>
  <c r="E53" i="6"/>
  <c r="D53" i="6"/>
  <c r="C53" i="6"/>
  <c r="F52" i="6"/>
  <c r="F51" i="6"/>
  <c r="F57" i="6" l="1"/>
  <c r="F59" i="6" s="1"/>
  <c r="F63" i="6"/>
  <c r="F65" i="6" s="1"/>
  <c r="F53" i="6"/>
  <c r="C65" i="6"/>
  <c r="C59" i="6"/>
  <c r="F64" i="3" l="1"/>
  <c r="E63" i="3"/>
  <c r="E65" i="3" s="1"/>
  <c r="D63" i="3"/>
  <c r="C63" i="3"/>
  <c r="C65" i="3" s="1"/>
  <c r="F62" i="3"/>
  <c r="F61" i="3"/>
  <c r="F58" i="3"/>
  <c r="E57" i="3"/>
  <c r="E59" i="3" s="1"/>
  <c r="D57" i="3"/>
  <c r="D59" i="3" s="1"/>
  <c r="C57" i="3"/>
  <c r="F56" i="3"/>
  <c r="F55" i="3"/>
  <c r="E53" i="3"/>
  <c r="D53" i="3"/>
  <c r="C53" i="3"/>
  <c r="F52" i="3"/>
  <c r="F51" i="3"/>
  <c r="E65" i="1"/>
  <c r="F64" i="1"/>
  <c r="E63" i="1"/>
  <c r="D63" i="1"/>
  <c r="D65" i="1" s="1"/>
  <c r="C63" i="1"/>
  <c r="C65" i="1" s="1"/>
  <c r="F62" i="1"/>
  <c r="F61" i="1"/>
  <c r="E59" i="1"/>
  <c r="F58" i="1"/>
  <c r="E57" i="1"/>
  <c r="D57" i="1"/>
  <c r="D59" i="1" s="1"/>
  <c r="C57" i="1"/>
  <c r="F56" i="1"/>
  <c r="F55" i="1"/>
  <c r="E53" i="1"/>
  <c r="D53" i="1"/>
  <c r="C53" i="1"/>
  <c r="F52" i="1"/>
  <c r="F51" i="1"/>
  <c r="F57" i="3" l="1"/>
  <c r="F59" i="3" s="1"/>
  <c r="F63" i="3"/>
  <c r="F65" i="3" s="1"/>
  <c r="F53" i="1"/>
  <c r="F57" i="1"/>
  <c r="F59" i="1" s="1"/>
  <c r="C59" i="1"/>
  <c r="F63" i="1"/>
  <c r="F65" i="1" s="1"/>
  <c r="F53" i="3"/>
  <c r="C59" i="3"/>
  <c r="D65" i="3"/>
  <c r="I34" i="3" l="1"/>
  <c r="I32" i="2" l="1"/>
  <c r="J34" i="6" l="1"/>
  <c r="J33" i="6"/>
  <c r="J32" i="6"/>
  <c r="I34" i="6"/>
  <c r="I33" i="6"/>
  <c r="I32" i="6"/>
  <c r="J34" i="1"/>
  <c r="J33" i="1"/>
  <c r="J32" i="1"/>
  <c r="I34" i="1"/>
  <c r="I33" i="1"/>
  <c r="I32" i="1"/>
  <c r="J34" i="3"/>
  <c r="J33" i="3"/>
  <c r="J32" i="3"/>
  <c r="I33" i="3"/>
  <c r="I34" i="4"/>
  <c r="I33" i="4"/>
  <c r="I32" i="4"/>
  <c r="J33" i="4"/>
  <c r="J32" i="4"/>
  <c r="J34" i="4"/>
  <c r="T92" i="5" l="1"/>
  <c r="T91" i="5"/>
  <c r="S92" i="5"/>
  <c r="S91" i="5"/>
  <c r="R92" i="5"/>
  <c r="R91" i="5"/>
  <c r="O92" i="5"/>
  <c r="Q92" i="5"/>
  <c r="P92" i="5"/>
  <c r="P91" i="5"/>
  <c r="O91" i="5"/>
  <c r="S18" i="6" l="1"/>
  <c r="S40" i="2"/>
  <c r="Y52" i="2" l="1"/>
  <c r="X52" i="4"/>
  <c r="U40" i="6"/>
  <c r="Y39" i="6"/>
  <c r="X39" i="6"/>
  <c r="T40" i="6"/>
  <c r="Y38" i="6"/>
  <c r="X38" i="6"/>
  <c r="V40" i="6"/>
  <c r="S40" i="6"/>
  <c r="R40" i="6"/>
  <c r="Q40" i="6"/>
  <c r="P40" i="6"/>
  <c r="O40" i="6"/>
  <c r="N40" i="6"/>
  <c r="Y29" i="6"/>
  <c r="X29" i="6"/>
  <c r="Y28" i="6"/>
  <c r="X28" i="6"/>
  <c r="W28" i="6"/>
  <c r="V30" i="6"/>
  <c r="U30" i="6"/>
  <c r="T30" i="6"/>
  <c r="S30" i="6"/>
  <c r="R30" i="6"/>
  <c r="Q30" i="6"/>
  <c r="P30" i="6"/>
  <c r="O30" i="6"/>
  <c r="N30" i="6"/>
  <c r="Y24" i="6"/>
  <c r="X24" i="6"/>
  <c r="Y23" i="6"/>
  <c r="X23" i="6"/>
  <c r="V25" i="6"/>
  <c r="U25" i="6"/>
  <c r="T25" i="6"/>
  <c r="S25" i="6"/>
  <c r="R25" i="6"/>
  <c r="Q25" i="6"/>
  <c r="P25" i="6"/>
  <c r="O25" i="6"/>
  <c r="N25" i="6"/>
  <c r="Y19" i="6"/>
  <c r="X19" i="6"/>
  <c r="Y17" i="6"/>
  <c r="X17" i="6"/>
  <c r="Y16" i="6"/>
  <c r="X16" i="6"/>
  <c r="V18" i="6"/>
  <c r="U18" i="6"/>
  <c r="T18" i="6"/>
  <c r="R18" i="6"/>
  <c r="Q18" i="6"/>
  <c r="P18" i="6"/>
  <c r="O18" i="6"/>
  <c r="N18" i="6"/>
  <c r="Y13" i="6"/>
  <c r="X13" i="6"/>
  <c r="Y11" i="6"/>
  <c r="X11" i="6"/>
  <c r="Y10" i="6"/>
  <c r="X10" i="6"/>
  <c r="V12" i="6"/>
  <c r="U12" i="6"/>
  <c r="T12" i="6"/>
  <c r="S12" i="6"/>
  <c r="R12" i="6"/>
  <c r="Q12" i="6"/>
  <c r="P12" i="6"/>
  <c r="O12" i="6"/>
  <c r="N12" i="6"/>
  <c r="Y6" i="6"/>
  <c r="X6" i="6"/>
  <c r="V34" i="6"/>
  <c r="V45" i="6" s="1"/>
  <c r="U34" i="6"/>
  <c r="U45" i="6" s="1"/>
  <c r="T34" i="6"/>
  <c r="T45" i="6" s="1"/>
  <c r="S34" i="6"/>
  <c r="S45" i="6" s="1"/>
  <c r="R34" i="6"/>
  <c r="R45" i="6" s="1"/>
  <c r="Q34" i="6"/>
  <c r="Q45" i="6" s="1"/>
  <c r="P34" i="6"/>
  <c r="P45" i="6" s="1"/>
  <c r="O34" i="6"/>
  <c r="O45" i="6" s="1"/>
  <c r="N34" i="6"/>
  <c r="N45" i="6" s="1"/>
  <c r="Y5" i="6"/>
  <c r="X5" i="6"/>
  <c r="V33" i="6"/>
  <c r="U33" i="6"/>
  <c r="T33" i="6"/>
  <c r="S33" i="6"/>
  <c r="R33" i="6"/>
  <c r="R44" i="6" s="1"/>
  <c r="Q33" i="6"/>
  <c r="P33" i="6"/>
  <c r="P44" i="6" s="1"/>
  <c r="O33" i="6"/>
  <c r="O44" i="6" s="1"/>
  <c r="N33" i="6"/>
  <c r="U40" i="1"/>
  <c r="Y39" i="1"/>
  <c r="X39" i="1"/>
  <c r="T40" i="1"/>
  <c r="Y38" i="1"/>
  <c r="X38" i="1"/>
  <c r="V40" i="1"/>
  <c r="S40" i="1"/>
  <c r="R40" i="1"/>
  <c r="Q40" i="1"/>
  <c r="P40" i="1"/>
  <c r="O40" i="1"/>
  <c r="N40" i="1"/>
  <c r="Y29" i="1"/>
  <c r="X29" i="1"/>
  <c r="W29" i="1"/>
  <c r="Y28" i="1"/>
  <c r="X28" i="1"/>
  <c r="W28" i="1"/>
  <c r="V30" i="1"/>
  <c r="U30" i="1"/>
  <c r="T30" i="1"/>
  <c r="S30" i="1"/>
  <c r="R30" i="1"/>
  <c r="Q30" i="1"/>
  <c r="P30" i="1"/>
  <c r="O30" i="1"/>
  <c r="N30" i="1"/>
  <c r="Y24" i="1"/>
  <c r="X24" i="1"/>
  <c r="Y23" i="1"/>
  <c r="X23" i="1"/>
  <c r="V25" i="1"/>
  <c r="U25" i="1"/>
  <c r="T25" i="1"/>
  <c r="S25" i="1"/>
  <c r="R25" i="1"/>
  <c r="Q25" i="1"/>
  <c r="P25" i="1"/>
  <c r="O25" i="1"/>
  <c r="N25" i="1"/>
  <c r="Y19" i="1"/>
  <c r="X19" i="1"/>
  <c r="Y17" i="1"/>
  <c r="X17" i="1"/>
  <c r="Y16" i="1"/>
  <c r="X16" i="1"/>
  <c r="W16" i="1"/>
  <c r="V18" i="1"/>
  <c r="U18" i="1"/>
  <c r="T18" i="1"/>
  <c r="S18" i="1"/>
  <c r="R18" i="1"/>
  <c r="Q18" i="1"/>
  <c r="P18" i="1"/>
  <c r="O18" i="1"/>
  <c r="N18" i="1"/>
  <c r="Y13" i="1"/>
  <c r="X13" i="1"/>
  <c r="Y11" i="1"/>
  <c r="X11" i="1"/>
  <c r="Y10" i="1"/>
  <c r="X10" i="1"/>
  <c r="W10" i="1"/>
  <c r="V12" i="1"/>
  <c r="U12" i="1"/>
  <c r="T12" i="1"/>
  <c r="S12" i="1"/>
  <c r="R12" i="1"/>
  <c r="Q12" i="1"/>
  <c r="P12" i="1"/>
  <c r="O12" i="1"/>
  <c r="N12" i="1"/>
  <c r="Y6" i="1"/>
  <c r="X6" i="1"/>
  <c r="V34" i="1"/>
  <c r="V45" i="1" s="1"/>
  <c r="U34" i="1"/>
  <c r="U45" i="1" s="1"/>
  <c r="T34" i="1"/>
  <c r="T45" i="1" s="1"/>
  <c r="S34" i="1"/>
  <c r="S45" i="1" s="1"/>
  <c r="R34" i="1"/>
  <c r="R45" i="1" s="1"/>
  <c r="Q34" i="1"/>
  <c r="Q45" i="1" s="1"/>
  <c r="P34" i="1"/>
  <c r="P45" i="1" s="1"/>
  <c r="O34" i="1"/>
  <c r="O45" i="1" s="1"/>
  <c r="N34" i="1"/>
  <c r="N45" i="1" s="1"/>
  <c r="Y5" i="1"/>
  <c r="X5" i="1"/>
  <c r="V33" i="1"/>
  <c r="U33" i="1"/>
  <c r="T33" i="1"/>
  <c r="S33" i="1"/>
  <c r="R33" i="1"/>
  <c r="Q33" i="1"/>
  <c r="P33" i="1"/>
  <c r="O33" i="1"/>
  <c r="N33" i="1"/>
  <c r="U40" i="3"/>
  <c r="Y39" i="3"/>
  <c r="X39" i="3"/>
  <c r="T40" i="3"/>
  <c r="Y38" i="3"/>
  <c r="X38" i="3"/>
  <c r="V40" i="3"/>
  <c r="S40" i="3"/>
  <c r="R40" i="3"/>
  <c r="Q40" i="3"/>
  <c r="P40" i="3"/>
  <c r="O40" i="3"/>
  <c r="N40" i="3"/>
  <c r="Y29" i="3"/>
  <c r="X29" i="3"/>
  <c r="Y28" i="3"/>
  <c r="X28" i="3"/>
  <c r="V30" i="3"/>
  <c r="U30" i="3"/>
  <c r="T30" i="3"/>
  <c r="S30" i="3"/>
  <c r="R30" i="3"/>
  <c r="Q30" i="3"/>
  <c r="P30" i="3"/>
  <c r="O30" i="3"/>
  <c r="N30" i="3"/>
  <c r="Y24" i="3"/>
  <c r="X24" i="3"/>
  <c r="Y23" i="3"/>
  <c r="X23" i="3"/>
  <c r="V25" i="3"/>
  <c r="U25" i="3"/>
  <c r="T25" i="3"/>
  <c r="S25" i="3"/>
  <c r="R25" i="3"/>
  <c r="Q25" i="3"/>
  <c r="P25" i="3"/>
  <c r="O25" i="3"/>
  <c r="N25" i="3"/>
  <c r="Y19" i="3"/>
  <c r="X19" i="3"/>
  <c r="Y17" i="3"/>
  <c r="X17" i="3"/>
  <c r="Y16" i="3"/>
  <c r="X16" i="3"/>
  <c r="V18" i="3"/>
  <c r="U18" i="3"/>
  <c r="T18" i="3"/>
  <c r="S18" i="3"/>
  <c r="R18" i="3"/>
  <c r="Q18" i="3"/>
  <c r="P18" i="3"/>
  <c r="O18" i="3"/>
  <c r="N18" i="3"/>
  <c r="Y13" i="3"/>
  <c r="X13" i="3"/>
  <c r="Y11" i="3"/>
  <c r="X11" i="3"/>
  <c r="Y10" i="3"/>
  <c r="X10" i="3"/>
  <c r="V12" i="3"/>
  <c r="U12" i="3"/>
  <c r="T12" i="3"/>
  <c r="S12" i="3"/>
  <c r="R12" i="3"/>
  <c r="Q12" i="3"/>
  <c r="P12" i="3"/>
  <c r="O12" i="3"/>
  <c r="N12" i="3"/>
  <c r="Y6" i="3"/>
  <c r="X6" i="3"/>
  <c r="V34" i="3"/>
  <c r="V45" i="3" s="1"/>
  <c r="U34" i="3"/>
  <c r="U45" i="3" s="1"/>
  <c r="T34" i="3"/>
  <c r="T45" i="3" s="1"/>
  <c r="S34" i="3"/>
  <c r="S45" i="3" s="1"/>
  <c r="R34" i="3"/>
  <c r="R45" i="3" s="1"/>
  <c r="Q34" i="3"/>
  <c r="Q45" i="3" s="1"/>
  <c r="P34" i="3"/>
  <c r="P45" i="3" s="1"/>
  <c r="O34" i="3"/>
  <c r="O45" i="3" s="1"/>
  <c r="N34" i="3"/>
  <c r="N45" i="3" s="1"/>
  <c r="Y5" i="3"/>
  <c r="X5" i="3"/>
  <c r="V33" i="3"/>
  <c r="V44" i="3" s="1"/>
  <c r="U33" i="3"/>
  <c r="U44" i="3" s="1"/>
  <c r="T33" i="3"/>
  <c r="T44" i="3" s="1"/>
  <c r="S33" i="3"/>
  <c r="S44" i="3" s="1"/>
  <c r="R33" i="3"/>
  <c r="R44" i="3" s="1"/>
  <c r="Q33" i="3"/>
  <c r="Q44" i="3" s="1"/>
  <c r="P33" i="3"/>
  <c r="P44" i="3" s="1"/>
  <c r="O33" i="3"/>
  <c r="O44" i="3" s="1"/>
  <c r="N33" i="3"/>
  <c r="N44" i="3" s="1"/>
  <c r="U40" i="2"/>
  <c r="Y39" i="2"/>
  <c r="X39" i="2"/>
  <c r="T40" i="2"/>
  <c r="Y38" i="2"/>
  <c r="X38" i="2"/>
  <c r="V40" i="2"/>
  <c r="R40" i="2"/>
  <c r="Q40" i="2"/>
  <c r="P40" i="2"/>
  <c r="O40" i="2"/>
  <c r="N40" i="2"/>
  <c r="Y29" i="2"/>
  <c r="X29" i="2"/>
  <c r="W29" i="2"/>
  <c r="Y28" i="2"/>
  <c r="X28" i="2"/>
  <c r="W28" i="2"/>
  <c r="V30" i="2"/>
  <c r="U30" i="2"/>
  <c r="T30" i="2"/>
  <c r="S30" i="2"/>
  <c r="R30" i="2"/>
  <c r="Q30" i="2"/>
  <c r="P30" i="2"/>
  <c r="O30" i="2"/>
  <c r="N30" i="2"/>
  <c r="Y24" i="2"/>
  <c r="X24" i="2"/>
  <c r="Y23" i="2"/>
  <c r="X23" i="2"/>
  <c r="V25" i="2"/>
  <c r="U25" i="2"/>
  <c r="T25" i="2"/>
  <c r="S25" i="2"/>
  <c r="R25" i="2"/>
  <c r="Q25" i="2"/>
  <c r="P25" i="2"/>
  <c r="O25" i="2"/>
  <c r="N25" i="2"/>
  <c r="Y19" i="2"/>
  <c r="X19" i="2"/>
  <c r="Y17" i="2"/>
  <c r="X17" i="2"/>
  <c r="Y16" i="2"/>
  <c r="X16" i="2"/>
  <c r="V18" i="2"/>
  <c r="U18" i="2"/>
  <c r="T18" i="2"/>
  <c r="S18" i="2"/>
  <c r="R18" i="2"/>
  <c r="Q18" i="2"/>
  <c r="P18" i="2"/>
  <c r="O18" i="2"/>
  <c r="N18" i="2"/>
  <c r="Y13" i="2"/>
  <c r="X13" i="2"/>
  <c r="Y11" i="2"/>
  <c r="X11" i="2"/>
  <c r="Y10" i="2"/>
  <c r="X10" i="2"/>
  <c r="V12" i="2"/>
  <c r="U12" i="2"/>
  <c r="T12" i="2"/>
  <c r="S12" i="2"/>
  <c r="R12" i="2"/>
  <c r="Q12" i="2"/>
  <c r="P12" i="2"/>
  <c r="O12" i="2"/>
  <c r="N12" i="2"/>
  <c r="Y6" i="2"/>
  <c r="X6" i="2"/>
  <c r="V34" i="2"/>
  <c r="V45" i="2" s="1"/>
  <c r="U34" i="2"/>
  <c r="U45" i="2" s="1"/>
  <c r="T34" i="2"/>
  <c r="T45" i="2" s="1"/>
  <c r="S34" i="2"/>
  <c r="S45" i="2" s="1"/>
  <c r="R34" i="2"/>
  <c r="R45" i="2" s="1"/>
  <c r="Q34" i="2"/>
  <c r="Q45" i="2" s="1"/>
  <c r="P34" i="2"/>
  <c r="P45" i="2" s="1"/>
  <c r="O34" i="2"/>
  <c r="O45" i="2" s="1"/>
  <c r="N34" i="2"/>
  <c r="N45" i="2" s="1"/>
  <c r="Y5" i="2"/>
  <c r="X5" i="2"/>
  <c r="V33" i="2"/>
  <c r="U33" i="2"/>
  <c r="T33" i="2"/>
  <c r="S33" i="2"/>
  <c r="R33" i="2"/>
  <c r="Q33" i="2"/>
  <c r="P33" i="2"/>
  <c r="O33" i="2"/>
  <c r="N33" i="2"/>
  <c r="U40" i="4"/>
  <c r="Y39" i="4"/>
  <c r="X39" i="4"/>
  <c r="T40" i="4"/>
  <c r="Y38" i="4"/>
  <c r="X38" i="4"/>
  <c r="V40" i="4"/>
  <c r="S40" i="4"/>
  <c r="R40" i="4"/>
  <c r="Q40" i="4"/>
  <c r="P40" i="4"/>
  <c r="O40" i="4"/>
  <c r="N40" i="4"/>
  <c r="Y29" i="4"/>
  <c r="X29" i="4"/>
  <c r="W29" i="4"/>
  <c r="Y28" i="4"/>
  <c r="X28" i="4"/>
  <c r="V30" i="4"/>
  <c r="U30" i="4"/>
  <c r="T30" i="4"/>
  <c r="S30" i="4"/>
  <c r="R30" i="4"/>
  <c r="Q30" i="4"/>
  <c r="P30" i="4"/>
  <c r="O30" i="4"/>
  <c r="N30" i="4"/>
  <c r="Y24" i="4"/>
  <c r="X24" i="4"/>
  <c r="Y23" i="4"/>
  <c r="X23" i="4"/>
  <c r="V25" i="4"/>
  <c r="U25" i="4"/>
  <c r="T25" i="4"/>
  <c r="S25" i="4"/>
  <c r="R25" i="4"/>
  <c r="Q25" i="4"/>
  <c r="P25" i="4"/>
  <c r="O25" i="4"/>
  <c r="N25" i="4"/>
  <c r="Y19" i="4"/>
  <c r="X19" i="4"/>
  <c r="Y17" i="4"/>
  <c r="X17" i="4"/>
  <c r="Y16" i="4"/>
  <c r="X16" i="4"/>
  <c r="V18" i="4"/>
  <c r="U18" i="4"/>
  <c r="T18" i="4"/>
  <c r="S18" i="4"/>
  <c r="R18" i="4"/>
  <c r="Q18" i="4"/>
  <c r="P18" i="4"/>
  <c r="N18" i="4"/>
  <c r="Y13" i="4"/>
  <c r="X13" i="4"/>
  <c r="Y11" i="4"/>
  <c r="X11" i="4"/>
  <c r="Y10" i="4"/>
  <c r="X10" i="4"/>
  <c r="V12" i="4"/>
  <c r="U12" i="4"/>
  <c r="T12" i="4"/>
  <c r="S12" i="4"/>
  <c r="R12" i="4"/>
  <c r="Q12" i="4"/>
  <c r="P12" i="4"/>
  <c r="O12" i="4"/>
  <c r="N12" i="4"/>
  <c r="Y6" i="4"/>
  <c r="X6" i="4"/>
  <c r="V34" i="4"/>
  <c r="V45" i="4" s="1"/>
  <c r="U34" i="4"/>
  <c r="U45" i="4" s="1"/>
  <c r="T34" i="4"/>
  <c r="T45" i="4" s="1"/>
  <c r="S34" i="4"/>
  <c r="S45" i="4" s="1"/>
  <c r="R34" i="4"/>
  <c r="R45" i="4" s="1"/>
  <c r="Q34" i="4"/>
  <c r="Q45" i="4" s="1"/>
  <c r="P34" i="4"/>
  <c r="P45" i="4" s="1"/>
  <c r="O34" i="4"/>
  <c r="O45" i="4" s="1"/>
  <c r="N34" i="4"/>
  <c r="N45" i="4" s="1"/>
  <c r="Y5" i="4"/>
  <c r="X5" i="4"/>
  <c r="V33" i="4"/>
  <c r="U33" i="4"/>
  <c r="T33" i="4"/>
  <c r="S33" i="4"/>
  <c r="R33" i="4"/>
  <c r="Q33" i="4"/>
  <c r="P33" i="4"/>
  <c r="O33" i="4"/>
  <c r="N33" i="4"/>
  <c r="Z39" i="5" l="1"/>
  <c r="Z38" i="5"/>
  <c r="X6" i="5"/>
  <c r="Y13" i="5"/>
  <c r="Y24" i="5"/>
  <c r="Z29" i="5"/>
  <c r="X39" i="5"/>
  <c r="Z5" i="5"/>
  <c r="Z6" i="5"/>
  <c r="Z10" i="5"/>
  <c r="X16" i="5"/>
  <c r="Y17" i="5"/>
  <c r="Z23" i="5"/>
  <c r="X29" i="5"/>
  <c r="Z16" i="5"/>
  <c r="X23" i="5"/>
  <c r="Y28" i="5"/>
  <c r="X38" i="5"/>
  <c r="Y38" i="5"/>
  <c r="Y39" i="5"/>
  <c r="X5" i="5"/>
  <c r="X28" i="5"/>
  <c r="Y29" i="5"/>
  <c r="Z28" i="5"/>
  <c r="X24" i="5"/>
  <c r="Y23" i="5"/>
  <c r="Z24" i="5"/>
  <c r="Y16" i="5"/>
  <c r="Z17" i="5"/>
  <c r="X17" i="5"/>
  <c r="X13" i="5"/>
  <c r="X10" i="5"/>
  <c r="Y11" i="5"/>
  <c r="X11" i="5"/>
  <c r="Y10" i="5"/>
  <c r="Z11" i="5"/>
  <c r="Y5" i="5"/>
  <c r="Y6" i="5"/>
  <c r="X19" i="5"/>
  <c r="Y19" i="5"/>
  <c r="W12" i="5"/>
  <c r="W7" i="5"/>
  <c r="P46" i="6"/>
  <c r="Y40" i="6"/>
  <c r="W40" i="4"/>
  <c r="R46" i="6"/>
  <c r="W40" i="1"/>
  <c r="Y40" i="3"/>
  <c r="X40" i="4"/>
  <c r="X40" i="3"/>
  <c r="W40" i="6"/>
  <c r="X40" i="2"/>
  <c r="X40" i="1"/>
  <c r="T35" i="6"/>
  <c r="T44" i="6"/>
  <c r="Q35" i="6"/>
  <c r="Q44" i="6"/>
  <c r="U35" i="6"/>
  <c r="U44" i="6"/>
  <c r="V35" i="6"/>
  <c r="V44" i="6"/>
  <c r="S35" i="6"/>
  <c r="S44" i="6"/>
  <c r="O46" i="6"/>
  <c r="W40" i="2"/>
  <c r="P35" i="6"/>
  <c r="Y40" i="1"/>
  <c r="Y40" i="2"/>
  <c r="Y40" i="4"/>
  <c r="W40" i="3"/>
  <c r="X40" i="6"/>
  <c r="R35" i="6"/>
  <c r="O35" i="6"/>
  <c r="P46" i="3"/>
  <c r="R46" i="3"/>
  <c r="T46" i="3"/>
  <c r="V46" i="3"/>
  <c r="O46" i="3"/>
  <c r="Q46" i="3"/>
  <c r="S46" i="3"/>
  <c r="U46" i="3"/>
  <c r="O35" i="4"/>
  <c r="O44" i="4"/>
  <c r="Q35" i="4"/>
  <c r="Q44" i="4"/>
  <c r="U35" i="4"/>
  <c r="U44" i="4"/>
  <c r="N35" i="4"/>
  <c r="N44" i="4"/>
  <c r="P35" i="4"/>
  <c r="P44" i="4"/>
  <c r="R35" i="4"/>
  <c r="R44" i="4"/>
  <c r="T35" i="4"/>
  <c r="T44" i="4"/>
  <c r="V35" i="4"/>
  <c r="V44" i="4"/>
  <c r="O35" i="2"/>
  <c r="O44" i="2"/>
  <c r="Q35" i="2"/>
  <c r="Q44" i="2"/>
  <c r="S35" i="2"/>
  <c r="S44" i="2"/>
  <c r="U35" i="2"/>
  <c r="U44" i="2"/>
  <c r="O35" i="1"/>
  <c r="O44" i="1"/>
  <c r="Q35" i="1"/>
  <c r="Q44" i="1"/>
  <c r="S35" i="1"/>
  <c r="S44" i="1"/>
  <c r="U35" i="1"/>
  <c r="U44" i="1"/>
  <c r="N35" i="6"/>
  <c r="N44" i="6"/>
  <c r="S35" i="4"/>
  <c r="S44" i="4"/>
  <c r="N35" i="2"/>
  <c r="N44" i="2"/>
  <c r="P35" i="2"/>
  <c r="P44" i="2"/>
  <c r="R35" i="2"/>
  <c r="R44" i="2"/>
  <c r="T35" i="2"/>
  <c r="T44" i="2"/>
  <c r="V35" i="2"/>
  <c r="V44" i="2"/>
  <c r="N35" i="1"/>
  <c r="N44" i="1"/>
  <c r="P35" i="1"/>
  <c r="P44" i="1"/>
  <c r="R35" i="1"/>
  <c r="R44" i="1"/>
  <c r="T35" i="1"/>
  <c r="T44" i="1"/>
  <c r="V35" i="1"/>
  <c r="V44" i="1"/>
  <c r="N46" i="3"/>
  <c r="Y58" i="2"/>
  <c r="X52" i="2"/>
  <c r="X58" i="2"/>
  <c r="X58" i="4"/>
  <c r="X33" i="4"/>
  <c r="X44" i="4" s="1"/>
  <c r="W33" i="2"/>
  <c r="W44" i="2" s="1"/>
  <c r="Y33" i="2"/>
  <c r="Y44" i="2" s="1"/>
  <c r="W34" i="3"/>
  <c r="W45" i="3" s="1"/>
  <c r="W33" i="1"/>
  <c r="W44" i="1" s="1"/>
  <c r="Y33" i="1"/>
  <c r="Y44" i="1" s="1"/>
  <c r="X33" i="6"/>
  <c r="X44" i="6" s="1"/>
  <c r="W33" i="4"/>
  <c r="W44" i="4" s="1"/>
  <c r="Y33" i="4"/>
  <c r="Y44" i="4" s="1"/>
  <c r="X33" i="2"/>
  <c r="X44" i="2" s="1"/>
  <c r="O35" i="3"/>
  <c r="Q35" i="3"/>
  <c r="S35" i="3"/>
  <c r="U35" i="3"/>
  <c r="X33" i="3"/>
  <c r="X44" i="3" s="1"/>
  <c r="Y34" i="3"/>
  <c r="Y45" i="3" s="1"/>
  <c r="W33" i="3"/>
  <c r="W44" i="3" s="1"/>
  <c r="X33" i="1"/>
  <c r="X44" i="1" s="1"/>
  <c r="X34" i="1"/>
  <c r="X45" i="1" s="1"/>
  <c r="W33" i="6"/>
  <c r="W44" i="6" s="1"/>
  <c r="Y33" i="6"/>
  <c r="Y44" i="6" s="1"/>
  <c r="W34" i="6"/>
  <c r="W45" i="6" s="1"/>
  <c r="Y34" i="6"/>
  <c r="Y45" i="6" s="1"/>
  <c r="W12" i="6"/>
  <c r="Y12" i="6"/>
  <c r="X18" i="6"/>
  <c r="W25" i="6"/>
  <c r="Y25" i="6"/>
  <c r="N35" i="3"/>
  <c r="P35" i="3"/>
  <c r="R35" i="3"/>
  <c r="T35" i="3"/>
  <c r="V35" i="3"/>
  <c r="Y33" i="3"/>
  <c r="W34" i="4"/>
  <c r="W45" i="4" s="1"/>
  <c r="Y34" i="4"/>
  <c r="Y45" i="4" s="1"/>
  <c r="X34" i="2"/>
  <c r="X30" i="6"/>
  <c r="X34" i="4"/>
  <c r="X12" i="4"/>
  <c r="X18" i="4"/>
  <c r="X25" i="4"/>
  <c r="W30" i="4"/>
  <c r="Y30" i="4"/>
  <c r="W34" i="2"/>
  <c r="W45" i="2" s="1"/>
  <c r="Y34" i="2"/>
  <c r="W12" i="2"/>
  <c r="Y12" i="2"/>
  <c r="X18" i="2"/>
  <c r="W25" i="2"/>
  <c r="Y25" i="2"/>
  <c r="X30" i="2"/>
  <c r="X34" i="3"/>
  <c r="X45" i="3" s="1"/>
  <c r="X12" i="3"/>
  <c r="X18" i="3"/>
  <c r="X25" i="3"/>
  <c r="W30" i="3"/>
  <c r="Y30" i="3"/>
  <c r="W34" i="1"/>
  <c r="Y34" i="1"/>
  <c r="W12" i="1"/>
  <c r="Y12" i="1"/>
  <c r="X18" i="1"/>
  <c r="X34" i="6"/>
  <c r="X45" i="6" s="1"/>
  <c r="X12" i="6"/>
  <c r="W18" i="6"/>
  <c r="X25" i="6"/>
  <c r="W25" i="1"/>
  <c r="Y25" i="1"/>
  <c r="X30" i="1"/>
  <c r="W30" i="6"/>
  <c r="W12" i="4"/>
  <c r="Y12" i="4"/>
  <c r="W18" i="4"/>
  <c r="Y18" i="4"/>
  <c r="W25" i="4"/>
  <c r="Y25" i="4"/>
  <c r="X30" i="4"/>
  <c r="X12" i="2"/>
  <c r="W18" i="2"/>
  <c r="Y18" i="2"/>
  <c r="X25" i="2"/>
  <c r="W30" i="2"/>
  <c r="Y30" i="2"/>
  <c r="W12" i="3"/>
  <c r="Y12" i="3"/>
  <c r="W18" i="3"/>
  <c r="Y18" i="3"/>
  <c r="W25" i="3"/>
  <c r="Y25" i="3"/>
  <c r="X30" i="3"/>
  <c r="X12" i="1"/>
  <c r="W18" i="1"/>
  <c r="Y18" i="1"/>
  <c r="X25" i="1"/>
  <c r="W30" i="1"/>
  <c r="Y30" i="1"/>
  <c r="Y18" i="6"/>
  <c r="Y30" i="6"/>
  <c r="N7" i="6"/>
  <c r="P7" i="6"/>
  <c r="R7" i="6"/>
  <c r="T7" i="6"/>
  <c r="V7" i="6"/>
  <c r="X7" i="6"/>
  <c r="O7" i="6"/>
  <c r="Q7" i="6"/>
  <c r="S7" i="6"/>
  <c r="U7" i="6"/>
  <c r="W7" i="6"/>
  <c r="Y7" i="6"/>
  <c r="N7" i="1"/>
  <c r="P7" i="1"/>
  <c r="R7" i="1"/>
  <c r="T7" i="1"/>
  <c r="V7" i="1"/>
  <c r="X7" i="1"/>
  <c r="O7" i="1"/>
  <c r="Q7" i="1"/>
  <c r="S7" i="1"/>
  <c r="U7" i="1"/>
  <c r="W7" i="1"/>
  <c r="Y7" i="1"/>
  <c r="N7" i="3"/>
  <c r="P7" i="3"/>
  <c r="R7" i="3"/>
  <c r="T7" i="3"/>
  <c r="V7" i="3"/>
  <c r="X7" i="3"/>
  <c r="O7" i="3"/>
  <c r="Q7" i="3"/>
  <c r="S7" i="3"/>
  <c r="U7" i="3"/>
  <c r="W7" i="3"/>
  <c r="Y7" i="3"/>
  <c r="N7" i="2"/>
  <c r="P7" i="2"/>
  <c r="R7" i="2"/>
  <c r="T7" i="2"/>
  <c r="V7" i="2"/>
  <c r="X7" i="2"/>
  <c r="O7" i="2"/>
  <c r="Q7" i="2"/>
  <c r="S7" i="2"/>
  <c r="U7" i="2"/>
  <c r="W7" i="2"/>
  <c r="Y7" i="2"/>
  <c r="N7" i="4"/>
  <c r="P7" i="4"/>
  <c r="R7" i="4"/>
  <c r="T7" i="4"/>
  <c r="V7" i="4"/>
  <c r="X7" i="4"/>
  <c r="O7" i="4"/>
  <c r="Q7" i="4"/>
  <c r="S7" i="4"/>
  <c r="U7" i="4"/>
  <c r="W7" i="4"/>
  <c r="Y7" i="4"/>
  <c r="W30" i="5" l="1"/>
  <c r="W18" i="5"/>
  <c r="W25" i="5"/>
  <c r="W33" i="5"/>
  <c r="W48" i="5" s="1"/>
  <c r="C32" i="8" s="1"/>
  <c r="W34" i="5"/>
  <c r="W49" i="5" s="1"/>
  <c r="C52" i="8" s="1"/>
  <c r="W40" i="5"/>
  <c r="V46" i="6"/>
  <c r="V46" i="1"/>
  <c r="V46" i="2"/>
  <c r="V46" i="4"/>
  <c r="U46" i="6"/>
  <c r="U46" i="1"/>
  <c r="X12" i="5"/>
  <c r="T46" i="6"/>
  <c r="Z30" i="5"/>
  <c r="Y40" i="5"/>
  <c r="Y7" i="5"/>
  <c r="X18" i="5"/>
  <c r="Y25" i="5"/>
  <c r="Z25" i="5"/>
  <c r="Z12" i="5"/>
  <c r="X40" i="5"/>
  <c r="Z40" i="5"/>
  <c r="X25" i="5"/>
  <c r="Z34" i="5"/>
  <c r="Z49" i="5" s="1"/>
  <c r="X30" i="5"/>
  <c r="Y30" i="5"/>
  <c r="X34" i="5"/>
  <c r="Y33" i="5"/>
  <c r="Y48" i="5" s="1"/>
  <c r="Y34" i="5"/>
  <c r="Y49" i="5" s="1"/>
  <c r="Z33" i="5"/>
  <c r="Y18" i="5"/>
  <c r="Z18" i="5"/>
  <c r="Y12" i="5"/>
  <c r="X7" i="5"/>
  <c r="X33" i="5"/>
  <c r="Z7" i="5"/>
  <c r="T46" i="1"/>
  <c r="U46" i="2"/>
  <c r="U46" i="4"/>
  <c r="T46" i="2"/>
  <c r="T46" i="4"/>
  <c r="S46" i="6"/>
  <c r="S46" i="1"/>
  <c r="S46" i="2"/>
  <c r="S46" i="4"/>
  <c r="R46" i="2"/>
  <c r="R46" i="1"/>
  <c r="R46" i="4"/>
  <c r="W46" i="3"/>
  <c r="Q46" i="6"/>
  <c r="Q46" i="1"/>
  <c r="Q46" i="2"/>
  <c r="Q46" i="4"/>
  <c r="W46" i="6"/>
  <c r="X46" i="6"/>
  <c r="Y46" i="6"/>
  <c r="P46" i="1"/>
  <c r="Y50" i="4"/>
  <c r="P46" i="2"/>
  <c r="P46" i="4"/>
  <c r="X35" i="6"/>
  <c r="W35" i="3"/>
  <c r="O46" i="1"/>
  <c r="O46" i="2"/>
  <c r="O46" i="4"/>
  <c r="X46" i="1"/>
  <c r="Y46" i="4"/>
  <c r="Y51" i="4" s="1"/>
  <c r="Y56" i="4" s="1"/>
  <c r="W35" i="1"/>
  <c r="W45" i="1"/>
  <c r="X35" i="4"/>
  <c r="X45" i="4"/>
  <c r="X46" i="4" s="1"/>
  <c r="X46" i="3"/>
  <c r="W46" i="4"/>
  <c r="W46" i="2"/>
  <c r="N46" i="1"/>
  <c r="N46" i="2"/>
  <c r="Y35" i="1"/>
  <c r="Y45" i="1"/>
  <c r="Y46" i="1" s="1"/>
  <c r="Y35" i="2"/>
  <c r="Y45" i="2"/>
  <c r="Y46" i="2" s="1"/>
  <c r="X35" i="2"/>
  <c r="X45" i="2"/>
  <c r="X46" i="2" s="1"/>
  <c r="Y35" i="3"/>
  <c r="Y44" i="3"/>
  <c r="Y46" i="3" s="1"/>
  <c r="N46" i="6"/>
  <c r="N46" i="4"/>
  <c r="Y35" i="4"/>
  <c r="W35" i="2"/>
  <c r="Y35" i="6"/>
  <c r="X35" i="3"/>
  <c r="W35" i="4"/>
  <c r="W35" i="6"/>
  <c r="X35" i="1"/>
  <c r="W46" i="1" l="1"/>
  <c r="W35" i="5"/>
  <c r="W50" i="5"/>
  <c r="C12" i="8" s="1"/>
  <c r="X49" i="5"/>
  <c r="Y55" i="5"/>
  <c r="Z55" i="5"/>
  <c r="Z35" i="5"/>
  <c r="Y35" i="5"/>
  <c r="Z48" i="5"/>
  <c r="Z50" i="5" s="1"/>
  <c r="Y54" i="5"/>
  <c r="Y50" i="5"/>
  <c r="X48" i="5"/>
  <c r="C33" i="8" s="1"/>
  <c r="X35" i="5"/>
  <c r="Y52" i="4"/>
  <c r="Y57" i="4" s="1"/>
  <c r="D18" i="1"/>
  <c r="X55" i="5" l="1"/>
  <c r="C53" i="8"/>
  <c r="Y56" i="5"/>
  <c r="Y58" i="4"/>
  <c r="Y64" i="4"/>
  <c r="Y70" i="4" s="1"/>
  <c r="Z54" i="5"/>
  <c r="Z56" i="5" s="1"/>
  <c r="X50" i="5"/>
  <c r="C13" i="8" s="1"/>
  <c r="X54" i="5"/>
  <c r="C12" i="6"/>
  <c r="D12" i="6"/>
  <c r="E12" i="6"/>
  <c r="C7" i="2"/>
  <c r="D7" i="2"/>
  <c r="E7" i="2"/>
  <c r="X56" i="5" l="1"/>
  <c r="D34" i="6"/>
  <c r="U86" i="5" l="1"/>
  <c r="S86" i="5"/>
  <c r="T86" i="5"/>
  <c r="T85" i="5"/>
  <c r="R86" i="5"/>
  <c r="R85" i="5"/>
  <c r="S85" i="5"/>
  <c r="Q85" i="5"/>
  <c r="Q86" i="5"/>
  <c r="P86" i="5"/>
  <c r="O86" i="5"/>
  <c r="P85" i="5"/>
  <c r="O85" i="5"/>
  <c r="D18" i="3"/>
  <c r="E18" i="3"/>
  <c r="C18" i="3"/>
  <c r="C20" i="3" s="1"/>
  <c r="D57" i="5" l="1"/>
  <c r="E57" i="5"/>
  <c r="C57" i="5"/>
  <c r="D7" i="4"/>
  <c r="F67" i="6"/>
  <c r="F66" i="6"/>
  <c r="F48" i="6"/>
  <c r="I62" i="6" s="1"/>
  <c r="I61" i="6" s="1"/>
  <c r="F47" i="6"/>
  <c r="K55" i="6" s="1"/>
  <c r="K54" i="6" s="1"/>
  <c r="F46" i="6"/>
  <c r="I55" i="6" s="1"/>
  <c r="I54" i="6" s="1"/>
  <c r="E45" i="6"/>
  <c r="D45" i="6"/>
  <c r="C45" i="6"/>
  <c r="F44" i="6"/>
  <c r="F43" i="6"/>
  <c r="E40" i="6"/>
  <c r="D40" i="6"/>
  <c r="C40" i="6"/>
  <c r="K39" i="6"/>
  <c r="F39" i="6"/>
  <c r="K38" i="6"/>
  <c r="F38" i="6"/>
  <c r="K37" i="6"/>
  <c r="E34" i="6"/>
  <c r="C34" i="6"/>
  <c r="J45" i="6"/>
  <c r="I45" i="6"/>
  <c r="E33" i="6"/>
  <c r="D33" i="6"/>
  <c r="C33" i="6"/>
  <c r="J44" i="6"/>
  <c r="I44" i="6"/>
  <c r="E30" i="6"/>
  <c r="D30" i="6"/>
  <c r="C30" i="6"/>
  <c r="K29" i="6"/>
  <c r="F29" i="6"/>
  <c r="J31" i="6" s="1"/>
  <c r="J30" i="6" s="1"/>
  <c r="J46" i="6" s="1"/>
  <c r="K28" i="6"/>
  <c r="F28" i="6"/>
  <c r="I31" i="6" s="1"/>
  <c r="I30" i="6" s="1"/>
  <c r="K27" i="6"/>
  <c r="E25" i="6"/>
  <c r="D25" i="6"/>
  <c r="C25" i="6"/>
  <c r="K24" i="6"/>
  <c r="F24" i="6"/>
  <c r="J26" i="6" s="1"/>
  <c r="J25" i="6" s="1"/>
  <c r="K23" i="6"/>
  <c r="F23" i="6"/>
  <c r="I26" i="6" s="1"/>
  <c r="K22" i="6"/>
  <c r="F21" i="6"/>
  <c r="E20" i="6"/>
  <c r="D20" i="6"/>
  <c r="F19" i="6"/>
  <c r="L20" i="6" s="1"/>
  <c r="L19" i="6" s="1"/>
  <c r="K18" i="6"/>
  <c r="E18" i="6"/>
  <c r="D18" i="6"/>
  <c r="C18" i="6"/>
  <c r="C20" i="6" s="1"/>
  <c r="K17" i="6"/>
  <c r="F17" i="6"/>
  <c r="J20" i="6" s="1"/>
  <c r="J19" i="6" s="1"/>
  <c r="K16" i="6"/>
  <c r="F16" i="6"/>
  <c r="I20" i="6" s="1"/>
  <c r="I19" i="6" s="1"/>
  <c r="E14" i="6"/>
  <c r="F13" i="6"/>
  <c r="L14" i="6" s="1"/>
  <c r="L13" i="6" s="1"/>
  <c r="K12" i="6"/>
  <c r="C14" i="6"/>
  <c r="K11" i="6"/>
  <c r="F11" i="6"/>
  <c r="J14" i="6" s="1"/>
  <c r="J13" i="6" s="1"/>
  <c r="K10" i="6"/>
  <c r="F10" i="6"/>
  <c r="I14" i="6" s="1"/>
  <c r="I13" i="6" s="1"/>
  <c r="E7" i="6"/>
  <c r="D7" i="6"/>
  <c r="C7" i="6"/>
  <c r="K6" i="6"/>
  <c r="F6" i="6"/>
  <c r="J8" i="6" s="1"/>
  <c r="J7" i="6" s="1"/>
  <c r="K5" i="6"/>
  <c r="F5" i="6"/>
  <c r="I8" i="6" s="1"/>
  <c r="I7" i="6" s="1"/>
  <c r="K4" i="6"/>
  <c r="V51" i="6" l="1"/>
  <c r="U51" i="6"/>
  <c r="T50" i="6"/>
  <c r="T51" i="6"/>
  <c r="S51" i="6"/>
  <c r="S50" i="6"/>
  <c r="R51" i="6"/>
  <c r="R50" i="6"/>
  <c r="Q50" i="6"/>
  <c r="Q51" i="6"/>
  <c r="O51" i="6"/>
  <c r="N51" i="6"/>
  <c r="P51" i="6"/>
  <c r="P50" i="6"/>
  <c r="O50" i="6"/>
  <c r="N50" i="6"/>
  <c r="I41" i="6"/>
  <c r="I40" i="6" s="1"/>
  <c r="J35" i="6"/>
  <c r="J36" i="6" s="1"/>
  <c r="J41" i="6"/>
  <c r="E35" i="6"/>
  <c r="F30" i="6"/>
  <c r="F45" i="6"/>
  <c r="F18" i="6"/>
  <c r="F20" i="6" s="1"/>
  <c r="F33" i="6"/>
  <c r="K13" i="6"/>
  <c r="F34" i="6"/>
  <c r="F12" i="6"/>
  <c r="F14" i="6" s="1"/>
  <c r="F7" i="6"/>
  <c r="D35" i="6"/>
  <c r="D14" i="6"/>
  <c r="K44" i="6"/>
  <c r="F40" i="6"/>
  <c r="F25" i="6"/>
  <c r="K14" i="6"/>
  <c r="K30" i="6"/>
  <c r="K45" i="6"/>
  <c r="K7" i="6"/>
  <c r="K20" i="6"/>
  <c r="K19" i="6"/>
  <c r="K26" i="6"/>
  <c r="I25" i="6"/>
  <c r="K25" i="6" s="1"/>
  <c r="K8" i="6"/>
  <c r="K31" i="6"/>
  <c r="K33" i="6"/>
  <c r="C35" i="6"/>
  <c r="K32" i="6"/>
  <c r="S52" i="6" l="1"/>
  <c r="R52" i="6"/>
  <c r="Q52" i="6"/>
  <c r="O52" i="6"/>
  <c r="P52" i="6"/>
  <c r="N52" i="6"/>
  <c r="K41" i="6"/>
  <c r="J48" i="6"/>
  <c r="V57" i="6" s="1"/>
  <c r="J40" i="6"/>
  <c r="K40" i="6" s="1"/>
  <c r="I35" i="6"/>
  <c r="F35" i="6"/>
  <c r="K34" i="6"/>
  <c r="I46" i="6"/>
  <c r="V50" i="6" l="1"/>
  <c r="U57" i="6"/>
  <c r="T57" i="6"/>
  <c r="K46" i="6"/>
  <c r="U50" i="6"/>
  <c r="S57" i="6"/>
  <c r="R57" i="6"/>
  <c r="Q57" i="6"/>
  <c r="O57" i="6"/>
  <c r="P57" i="6"/>
  <c r="N57" i="6"/>
  <c r="J47" i="6"/>
  <c r="W51" i="6" s="1"/>
  <c r="K35" i="6"/>
  <c r="I36" i="6"/>
  <c r="K38" i="5"/>
  <c r="I33" i="5"/>
  <c r="J32" i="5"/>
  <c r="I32" i="5"/>
  <c r="K18" i="5"/>
  <c r="K17" i="5"/>
  <c r="K11" i="5"/>
  <c r="K39" i="5"/>
  <c r="F58" i="5"/>
  <c r="E63" i="5"/>
  <c r="E65" i="5" s="1"/>
  <c r="C63" i="5"/>
  <c r="C65" i="5" s="1"/>
  <c r="F61" i="5"/>
  <c r="E53" i="5"/>
  <c r="F52" i="5"/>
  <c r="D53" i="5"/>
  <c r="E40" i="5"/>
  <c r="F19" i="5"/>
  <c r="L20" i="5" s="1"/>
  <c r="D25" i="5"/>
  <c r="E12" i="5"/>
  <c r="D33" i="5"/>
  <c r="D7" i="5"/>
  <c r="C34" i="5"/>
  <c r="C33" i="5"/>
  <c r="F67" i="5"/>
  <c r="F66" i="5"/>
  <c r="F64" i="5"/>
  <c r="F55" i="5"/>
  <c r="F48" i="5"/>
  <c r="I62" i="5" s="1"/>
  <c r="I61" i="5" s="1"/>
  <c r="F47" i="5"/>
  <c r="F46" i="5"/>
  <c r="E45" i="5"/>
  <c r="D45" i="5"/>
  <c r="C45" i="5"/>
  <c r="F44" i="5"/>
  <c r="F43" i="5"/>
  <c r="F38" i="5"/>
  <c r="E25" i="5"/>
  <c r="F23" i="5"/>
  <c r="I26" i="5" s="1"/>
  <c r="F21" i="5"/>
  <c r="F67" i="4"/>
  <c r="F66" i="4"/>
  <c r="F48" i="4"/>
  <c r="I62" i="4" s="1"/>
  <c r="F47" i="4"/>
  <c r="K55" i="4" s="1"/>
  <c r="K54" i="4" s="1"/>
  <c r="F46" i="4"/>
  <c r="I55" i="4" s="1"/>
  <c r="I54" i="4" s="1"/>
  <c r="E45" i="4"/>
  <c r="D45" i="4"/>
  <c r="C45" i="4"/>
  <c r="F44" i="4"/>
  <c r="F43" i="4"/>
  <c r="E40" i="4"/>
  <c r="D40" i="4"/>
  <c r="C40" i="4"/>
  <c r="K39" i="4"/>
  <c r="F39" i="4"/>
  <c r="J41" i="4" s="1"/>
  <c r="J40" i="4" s="1"/>
  <c r="K38" i="4"/>
  <c r="F38" i="4"/>
  <c r="K37" i="4"/>
  <c r="E34" i="4"/>
  <c r="D34" i="4"/>
  <c r="C34" i="4"/>
  <c r="J45" i="4"/>
  <c r="I45" i="4"/>
  <c r="E33" i="4"/>
  <c r="D33" i="4"/>
  <c r="C33" i="4"/>
  <c r="J44" i="4"/>
  <c r="I44" i="4"/>
  <c r="E30" i="4"/>
  <c r="D30" i="4"/>
  <c r="C30" i="4"/>
  <c r="K29" i="4"/>
  <c r="F29" i="4"/>
  <c r="J31" i="4" s="1"/>
  <c r="K28" i="4"/>
  <c r="F28" i="4"/>
  <c r="I31" i="4" s="1"/>
  <c r="K27" i="4"/>
  <c r="E25" i="4"/>
  <c r="D25" i="4"/>
  <c r="C25" i="4"/>
  <c r="K24" i="4"/>
  <c r="F24" i="4"/>
  <c r="J26" i="4" s="1"/>
  <c r="J25" i="4" s="1"/>
  <c r="K23" i="4"/>
  <c r="F23" i="4"/>
  <c r="I26" i="4" s="1"/>
  <c r="I25" i="4" s="1"/>
  <c r="K22" i="4"/>
  <c r="F21" i="4"/>
  <c r="F19" i="4"/>
  <c r="L20" i="4" s="1"/>
  <c r="L19" i="4" s="1"/>
  <c r="K18" i="4"/>
  <c r="E18" i="4"/>
  <c r="E20" i="4" s="1"/>
  <c r="D18" i="4"/>
  <c r="D20" i="4" s="1"/>
  <c r="C18" i="4"/>
  <c r="C20" i="4" s="1"/>
  <c r="K17" i="4"/>
  <c r="F17" i="4"/>
  <c r="J20" i="4" s="1"/>
  <c r="J19" i="4" s="1"/>
  <c r="K16" i="4"/>
  <c r="F16" i="4"/>
  <c r="I20" i="4" s="1"/>
  <c r="F13" i="4"/>
  <c r="L14" i="4" s="1"/>
  <c r="L13" i="4" s="1"/>
  <c r="K12" i="4"/>
  <c r="E12" i="4"/>
  <c r="E14" i="4" s="1"/>
  <c r="D12" i="4"/>
  <c r="D14" i="4" s="1"/>
  <c r="C12" i="4"/>
  <c r="C14" i="4" s="1"/>
  <c r="K11" i="4"/>
  <c r="F11" i="4"/>
  <c r="J14" i="4" s="1"/>
  <c r="J13" i="4" s="1"/>
  <c r="K10" i="4"/>
  <c r="F10" i="4"/>
  <c r="I14" i="4" s="1"/>
  <c r="E7" i="4"/>
  <c r="C7" i="4"/>
  <c r="K6" i="4"/>
  <c r="F6" i="4"/>
  <c r="J8" i="4" s="1"/>
  <c r="J7" i="4" s="1"/>
  <c r="K5" i="4"/>
  <c r="F5" i="4"/>
  <c r="I8" i="4" s="1"/>
  <c r="K4" i="4"/>
  <c r="K4" i="3"/>
  <c r="F5" i="3"/>
  <c r="I8" i="3" s="1"/>
  <c r="K5" i="3"/>
  <c r="F6" i="3"/>
  <c r="J8" i="3" s="1"/>
  <c r="J7" i="3" s="1"/>
  <c r="K6" i="3"/>
  <c r="C7" i="3"/>
  <c r="D7" i="3"/>
  <c r="E7" i="3"/>
  <c r="F10" i="3"/>
  <c r="I14" i="3" s="1"/>
  <c r="K10" i="3"/>
  <c r="F11" i="3"/>
  <c r="J14" i="3" s="1"/>
  <c r="J13" i="3" s="1"/>
  <c r="K11" i="3"/>
  <c r="C12" i="3"/>
  <c r="C14" i="3" s="1"/>
  <c r="D12" i="3"/>
  <c r="D14" i="3" s="1"/>
  <c r="E12" i="3"/>
  <c r="E14" i="3" s="1"/>
  <c r="K12" i="3"/>
  <c r="F13" i="3"/>
  <c r="L14" i="3" s="1"/>
  <c r="L13" i="3" s="1"/>
  <c r="F16" i="3"/>
  <c r="K16" i="3"/>
  <c r="F17" i="3"/>
  <c r="J20" i="3" s="1"/>
  <c r="J19" i="3" s="1"/>
  <c r="K17" i="3"/>
  <c r="D20" i="3"/>
  <c r="K18" i="3"/>
  <c r="F19" i="3"/>
  <c r="L20" i="3" s="1"/>
  <c r="L19" i="3" s="1"/>
  <c r="E20" i="3"/>
  <c r="F21" i="3"/>
  <c r="K22" i="3"/>
  <c r="F23" i="3"/>
  <c r="K23" i="3"/>
  <c r="F24" i="3"/>
  <c r="J26" i="3" s="1"/>
  <c r="J25" i="3" s="1"/>
  <c r="K24" i="3"/>
  <c r="C25" i="3"/>
  <c r="D25" i="3"/>
  <c r="E25" i="3"/>
  <c r="K27" i="3"/>
  <c r="F28" i="3"/>
  <c r="I31" i="3" s="1"/>
  <c r="K28" i="3"/>
  <c r="F29" i="3"/>
  <c r="J31" i="3" s="1"/>
  <c r="J30" i="3" s="1"/>
  <c r="J46" i="3" s="1"/>
  <c r="K29" i="3"/>
  <c r="C30" i="3"/>
  <c r="D30" i="3"/>
  <c r="E30" i="3"/>
  <c r="I44" i="3"/>
  <c r="C33" i="3"/>
  <c r="D33" i="3"/>
  <c r="E33" i="3"/>
  <c r="I45" i="3"/>
  <c r="C34" i="3"/>
  <c r="D34" i="3"/>
  <c r="E34" i="3"/>
  <c r="K37" i="3"/>
  <c r="F38" i="3"/>
  <c r="I41" i="3" s="1"/>
  <c r="I40" i="3" s="1"/>
  <c r="K38" i="3"/>
  <c r="F39" i="3"/>
  <c r="J41" i="3" s="1"/>
  <c r="J40" i="3" s="1"/>
  <c r="K39" i="3"/>
  <c r="C40" i="3"/>
  <c r="D40" i="3"/>
  <c r="E40" i="3"/>
  <c r="F43" i="3"/>
  <c r="F44" i="3"/>
  <c r="C45" i="3"/>
  <c r="D45" i="3"/>
  <c r="E45" i="3"/>
  <c r="F46" i="3"/>
  <c r="I55" i="3" s="1"/>
  <c r="I54" i="3" s="1"/>
  <c r="F47" i="3"/>
  <c r="K55" i="3" s="1"/>
  <c r="K54" i="3" s="1"/>
  <c r="F48" i="3"/>
  <c r="I62" i="3" s="1"/>
  <c r="I61" i="3" s="1"/>
  <c r="F66" i="3"/>
  <c r="F67" i="3"/>
  <c r="F67" i="2"/>
  <c r="F66" i="2"/>
  <c r="F48" i="2"/>
  <c r="I62" i="2" s="1"/>
  <c r="I61" i="2" s="1"/>
  <c r="F47" i="2"/>
  <c r="K55" i="2" s="1"/>
  <c r="K54" i="2" s="1"/>
  <c r="F46" i="2"/>
  <c r="I55" i="2" s="1"/>
  <c r="I54" i="2" s="1"/>
  <c r="E45" i="2"/>
  <c r="D45" i="2"/>
  <c r="C45" i="2"/>
  <c r="F44" i="2"/>
  <c r="F43" i="2"/>
  <c r="E40" i="2"/>
  <c r="D40" i="2"/>
  <c r="C40" i="2"/>
  <c r="K39" i="2"/>
  <c r="F39" i="2"/>
  <c r="K38" i="2"/>
  <c r="F38" i="2"/>
  <c r="K37" i="2"/>
  <c r="E34" i="2"/>
  <c r="D34" i="2"/>
  <c r="C34" i="2"/>
  <c r="J33" i="2"/>
  <c r="J45" i="2" s="1"/>
  <c r="I33" i="2"/>
  <c r="I45" i="2" s="1"/>
  <c r="E33" i="2"/>
  <c r="D33" i="2"/>
  <c r="C33" i="2"/>
  <c r="J32" i="2"/>
  <c r="J44" i="2" s="1"/>
  <c r="I44" i="2"/>
  <c r="E30" i="2"/>
  <c r="D30" i="2"/>
  <c r="C30" i="2"/>
  <c r="K29" i="2"/>
  <c r="F29" i="2"/>
  <c r="J31" i="2" s="1"/>
  <c r="J30" i="2" s="1"/>
  <c r="J34" i="2" s="1"/>
  <c r="J46" i="2" s="1"/>
  <c r="K28" i="2"/>
  <c r="F28" i="2"/>
  <c r="I31" i="2" s="1"/>
  <c r="K27" i="2"/>
  <c r="E25" i="2"/>
  <c r="D25" i="2"/>
  <c r="C25" i="2"/>
  <c r="K24" i="2"/>
  <c r="F24" i="2"/>
  <c r="J26" i="2" s="1"/>
  <c r="J25" i="2" s="1"/>
  <c r="K23" i="2"/>
  <c r="F23" i="2"/>
  <c r="I26" i="2" s="1"/>
  <c r="I25" i="2" s="1"/>
  <c r="K22" i="2"/>
  <c r="F21" i="2"/>
  <c r="F19" i="2"/>
  <c r="L20" i="2" s="1"/>
  <c r="L19" i="2" s="1"/>
  <c r="K18" i="2"/>
  <c r="E18" i="2"/>
  <c r="E20" i="2" s="1"/>
  <c r="D18" i="2"/>
  <c r="D20" i="2" s="1"/>
  <c r="C18" i="2"/>
  <c r="C20" i="2" s="1"/>
  <c r="K17" i="2"/>
  <c r="F17" i="2"/>
  <c r="J20" i="2" s="1"/>
  <c r="J19" i="2" s="1"/>
  <c r="K16" i="2"/>
  <c r="F16" i="2"/>
  <c r="I20" i="2" s="1"/>
  <c r="F13" i="2"/>
  <c r="L14" i="2" s="1"/>
  <c r="L13" i="2" s="1"/>
  <c r="K12" i="2"/>
  <c r="E12" i="2"/>
  <c r="E14" i="2" s="1"/>
  <c r="D12" i="2"/>
  <c r="D14" i="2" s="1"/>
  <c r="C12" i="2"/>
  <c r="C14" i="2" s="1"/>
  <c r="K11" i="2"/>
  <c r="F11" i="2"/>
  <c r="J14" i="2" s="1"/>
  <c r="J13" i="2" s="1"/>
  <c r="K10" i="2"/>
  <c r="F10" i="2"/>
  <c r="I14" i="2" s="1"/>
  <c r="K6" i="2"/>
  <c r="F6" i="2"/>
  <c r="J8" i="2" s="1"/>
  <c r="J7" i="2" s="1"/>
  <c r="K5" i="2"/>
  <c r="F5" i="2"/>
  <c r="I8" i="2" s="1"/>
  <c r="K4" i="2"/>
  <c r="F67" i="1"/>
  <c r="F66" i="1"/>
  <c r="F48" i="1"/>
  <c r="I62" i="1" s="1"/>
  <c r="I61" i="1" s="1"/>
  <c r="F47" i="1"/>
  <c r="K55" i="1" s="1"/>
  <c r="K54" i="1" s="1"/>
  <c r="F46" i="1"/>
  <c r="I55" i="1" s="1"/>
  <c r="I54" i="1" s="1"/>
  <c r="E45" i="1"/>
  <c r="D45" i="1"/>
  <c r="C45" i="1"/>
  <c r="F44" i="1"/>
  <c r="F43" i="1"/>
  <c r="E40" i="1"/>
  <c r="D40" i="1"/>
  <c r="C40" i="1"/>
  <c r="K39" i="1"/>
  <c r="F39" i="1"/>
  <c r="K38" i="1"/>
  <c r="F38" i="1"/>
  <c r="I41" i="1" s="1"/>
  <c r="K37" i="1"/>
  <c r="E34" i="1"/>
  <c r="D34" i="1"/>
  <c r="C34" i="1"/>
  <c r="J45" i="1"/>
  <c r="I45" i="1"/>
  <c r="E33" i="1"/>
  <c r="D33" i="1"/>
  <c r="C33" i="1"/>
  <c r="J44" i="1"/>
  <c r="I44" i="1"/>
  <c r="E30" i="1"/>
  <c r="D30" i="1"/>
  <c r="C30" i="1"/>
  <c r="K29" i="1"/>
  <c r="F29" i="1"/>
  <c r="J31" i="1" s="1"/>
  <c r="J30" i="1" s="1"/>
  <c r="J46" i="1" s="1"/>
  <c r="K28" i="1"/>
  <c r="F28" i="1"/>
  <c r="I31" i="1" s="1"/>
  <c r="K27" i="1"/>
  <c r="E25" i="1"/>
  <c r="D25" i="1"/>
  <c r="C25" i="1"/>
  <c r="K24" i="1"/>
  <c r="F24" i="1"/>
  <c r="J26" i="1" s="1"/>
  <c r="J25" i="1" s="1"/>
  <c r="K23" i="1"/>
  <c r="F23" i="1"/>
  <c r="I26" i="1" s="1"/>
  <c r="K22" i="1"/>
  <c r="F21" i="1"/>
  <c r="E20" i="1"/>
  <c r="F19" i="1"/>
  <c r="L20" i="1" s="1"/>
  <c r="L19" i="1" s="1"/>
  <c r="K18" i="1"/>
  <c r="E18" i="1"/>
  <c r="D20" i="1"/>
  <c r="C18" i="1"/>
  <c r="C20" i="1" s="1"/>
  <c r="K17" i="1"/>
  <c r="F17" i="1"/>
  <c r="J20" i="1" s="1"/>
  <c r="J19" i="1" s="1"/>
  <c r="K16" i="1"/>
  <c r="F16" i="1"/>
  <c r="I20" i="1" s="1"/>
  <c r="E14" i="1"/>
  <c r="F13" i="1"/>
  <c r="L14" i="1" s="1"/>
  <c r="L13" i="1" s="1"/>
  <c r="K12" i="1"/>
  <c r="E12" i="1"/>
  <c r="D12" i="1"/>
  <c r="D14" i="1" s="1"/>
  <c r="C12" i="1"/>
  <c r="C14" i="1" s="1"/>
  <c r="K11" i="1"/>
  <c r="F11" i="1"/>
  <c r="J14" i="1" s="1"/>
  <c r="J13" i="1" s="1"/>
  <c r="K10" i="1"/>
  <c r="F10" i="1"/>
  <c r="I14" i="1" s="1"/>
  <c r="E7" i="1"/>
  <c r="D7" i="1"/>
  <c r="C7" i="1"/>
  <c r="K6" i="1"/>
  <c r="F6" i="1"/>
  <c r="J8" i="1" s="1"/>
  <c r="J7" i="1" s="1"/>
  <c r="K5" i="1"/>
  <c r="F5" i="1"/>
  <c r="I8" i="1" s="1"/>
  <c r="K4" i="1"/>
  <c r="V52" i="6" l="1"/>
  <c r="V51" i="1"/>
  <c r="V51" i="2"/>
  <c r="T52" i="6"/>
  <c r="U52" i="6"/>
  <c r="U51" i="1"/>
  <c r="U51" i="2"/>
  <c r="T51" i="2"/>
  <c r="T51" i="1"/>
  <c r="T72" i="5"/>
  <c r="T78" i="5"/>
  <c r="S50" i="1"/>
  <c r="S51" i="1"/>
  <c r="S50" i="3"/>
  <c r="S50" i="2"/>
  <c r="S51" i="2"/>
  <c r="S50" i="4"/>
  <c r="S51" i="4"/>
  <c r="S72" i="5"/>
  <c r="S78" i="5"/>
  <c r="R50" i="1"/>
  <c r="R51" i="1"/>
  <c r="R50" i="2"/>
  <c r="R50" i="3"/>
  <c r="R51" i="2"/>
  <c r="R50" i="4"/>
  <c r="R51" i="4"/>
  <c r="R78" i="5"/>
  <c r="R72" i="5"/>
  <c r="Q51" i="1"/>
  <c r="Q51" i="2"/>
  <c r="Q50" i="1"/>
  <c r="Q50" i="3"/>
  <c r="Q50" i="2"/>
  <c r="Q50" i="4"/>
  <c r="Q51" i="4"/>
  <c r="N50" i="3"/>
  <c r="O50" i="3"/>
  <c r="P50" i="3"/>
  <c r="Q72" i="5"/>
  <c r="O78" i="5"/>
  <c r="Q78" i="5"/>
  <c r="P78" i="5"/>
  <c r="N50" i="4"/>
  <c r="P50" i="4"/>
  <c r="O50" i="4"/>
  <c r="N51" i="4"/>
  <c r="O51" i="4"/>
  <c r="P51" i="4"/>
  <c r="N51" i="1"/>
  <c r="O51" i="1"/>
  <c r="P51" i="1"/>
  <c r="P51" i="2"/>
  <c r="O51" i="2"/>
  <c r="N51" i="2"/>
  <c r="Q73" i="5"/>
  <c r="P79" i="5"/>
  <c r="O79" i="5"/>
  <c r="Q79" i="5"/>
  <c r="P50" i="1"/>
  <c r="N50" i="1"/>
  <c r="O50" i="1"/>
  <c r="N50" i="2"/>
  <c r="O50" i="2"/>
  <c r="P50" i="2"/>
  <c r="P73" i="5"/>
  <c r="P72" i="5"/>
  <c r="O72" i="5"/>
  <c r="O73" i="5"/>
  <c r="J44" i="5"/>
  <c r="I41" i="5"/>
  <c r="I40" i="5" s="1"/>
  <c r="J41" i="2"/>
  <c r="J40" i="2" s="1"/>
  <c r="I41" i="2"/>
  <c r="I40" i="2" s="1"/>
  <c r="J41" i="1"/>
  <c r="K41" i="1" s="1"/>
  <c r="I41" i="4"/>
  <c r="I40" i="4" s="1"/>
  <c r="K40" i="4" s="1"/>
  <c r="E35" i="1"/>
  <c r="D30" i="5"/>
  <c r="F45" i="3"/>
  <c r="F29" i="5"/>
  <c r="J31" i="5" s="1"/>
  <c r="J30" i="5" s="1"/>
  <c r="K28" i="5"/>
  <c r="K14" i="3"/>
  <c r="K13" i="3" s="1"/>
  <c r="F30" i="2"/>
  <c r="F45" i="2"/>
  <c r="F30" i="3"/>
  <c r="F28" i="5"/>
  <c r="I31" i="5" s="1"/>
  <c r="I30" i="5" s="1"/>
  <c r="C30" i="5"/>
  <c r="E30" i="5"/>
  <c r="K27" i="5"/>
  <c r="I30" i="3"/>
  <c r="K31" i="3"/>
  <c r="F30" i="1"/>
  <c r="F40" i="1"/>
  <c r="F45" i="1"/>
  <c r="F45" i="4"/>
  <c r="K55" i="5"/>
  <c r="K54" i="5" s="1"/>
  <c r="I55" i="5"/>
  <c r="I54" i="5" s="1"/>
  <c r="K25" i="4"/>
  <c r="J33" i="5"/>
  <c r="J45" i="5" s="1"/>
  <c r="I34" i="5"/>
  <c r="I46" i="5" s="1"/>
  <c r="K29" i="5"/>
  <c r="J34" i="5"/>
  <c r="F30" i="4"/>
  <c r="C35" i="1"/>
  <c r="K37" i="5"/>
  <c r="K32" i="3"/>
  <c r="F7" i="1"/>
  <c r="J35" i="1"/>
  <c r="J36" i="1" s="1"/>
  <c r="I20" i="3"/>
  <c r="I19" i="3" s="1"/>
  <c r="K19" i="3" s="1"/>
  <c r="F18" i="3"/>
  <c r="F20" i="3" s="1"/>
  <c r="E35" i="3"/>
  <c r="K22" i="5"/>
  <c r="K24" i="5"/>
  <c r="I19" i="4"/>
  <c r="K19" i="4" s="1"/>
  <c r="K20" i="4"/>
  <c r="I13" i="4"/>
  <c r="K13" i="4" s="1"/>
  <c r="K14" i="4"/>
  <c r="I7" i="4"/>
  <c r="K8" i="4"/>
  <c r="F45" i="5"/>
  <c r="K45" i="1"/>
  <c r="C53" i="5"/>
  <c r="F53" i="5" s="1"/>
  <c r="F18" i="1"/>
  <c r="F20" i="1" s="1"/>
  <c r="D35" i="1"/>
  <c r="F34" i="1"/>
  <c r="J44" i="3"/>
  <c r="K33" i="3"/>
  <c r="D63" i="5"/>
  <c r="D65" i="5" s="1"/>
  <c r="E59" i="5"/>
  <c r="D40" i="5"/>
  <c r="K40" i="3"/>
  <c r="F25" i="3"/>
  <c r="I26" i="3"/>
  <c r="I25" i="3" s="1"/>
  <c r="K25" i="3" s="1"/>
  <c r="E7" i="5"/>
  <c r="E33" i="5"/>
  <c r="F33" i="5" s="1"/>
  <c r="F34" i="3"/>
  <c r="J36" i="3" s="1"/>
  <c r="J35" i="3" s="1"/>
  <c r="D34" i="5"/>
  <c r="D35" i="5" s="1"/>
  <c r="D35" i="3"/>
  <c r="F33" i="3"/>
  <c r="I36" i="3" s="1"/>
  <c r="C35" i="3"/>
  <c r="K23" i="5"/>
  <c r="F39" i="5"/>
  <c r="C25" i="5"/>
  <c r="F25" i="5" s="1"/>
  <c r="F17" i="5"/>
  <c r="J20" i="5" s="1"/>
  <c r="J19" i="5" s="1"/>
  <c r="E18" i="5"/>
  <c r="E20" i="5" s="1"/>
  <c r="F16" i="5"/>
  <c r="I20" i="5" s="1"/>
  <c r="I19" i="5" s="1"/>
  <c r="E14" i="5"/>
  <c r="F13" i="5"/>
  <c r="L14" i="5" s="1"/>
  <c r="L13" i="5" s="1"/>
  <c r="D12" i="5"/>
  <c r="D14" i="5" s="1"/>
  <c r="F11" i="5"/>
  <c r="J14" i="5" s="1"/>
  <c r="J13" i="5" s="1"/>
  <c r="F10" i="5"/>
  <c r="I14" i="5" s="1"/>
  <c r="I13" i="5" s="1"/>
  <c r="E34" i="5"/>
  <c r="D35" i="2"/>
  <c r="F5" i="5"/>
  <c r="I8" i="5" s="1"/>
  <c r="I7" i="5" s="1"/>
  <c r="F62" i="5"/>
  <c r="D59" i="5"/>
  <c r="C59" i="5"/>
  <c r="F56" i="5"/>
  <c r="K71" i="5" s="1"/>
  <c r="F51" i="5"/>
  <c r="K70" i="5" s="1"/>
  <c r="C40" i="5"/>
  <c r="F24" i="5"/>
  <c r="J26" i="5" s="1"/>
  <c r="K26" i="5" s="1"/>
  <c r="D18" i="5"/>
  <c r="D20" i="5" s="1"/>
  <c r="C18" i="5"/>
  <c r="C20" i="5" s="1"/>
  <c r="C12" i="5"/>
  <c r="C14" i="5" s="1"/>
  <c r="D35" i="4"/>
  <c r="F34" i="4"/>
  <c r="K36" i="6"/>
  <c r="I48" i="6"/>
  <c r="K45" i="4"/>
  <c r="K5" i="5"/>
  <c r="F40" i="4"/>
  <c r="K41" i="4" s="1"/>
  <c r="F25" i="4"/>
  <c r="K26" i="4" s="1"/>
  <c r="F7" i="4"/>
  <c r="F33" i="4"/>
  <c r="E35" i="4"/>
  <c r="L19" i="5"/>
  <c r="K12" i="5"/>
  <c r="K45" i="2"/>
  <c r="I44" i="5"/>
  <c r="K4" i="5"/>
  <c r="K6" i="5"/>
  <c r="I25" i="5"/>
  <c r="K10" i="5"/>
  <c r="K16" i="5"/>
  <c r="F6" i="5"/>
  <c r="J8" i="5" s="1"/>
  <c r="C7" i="5"/>
  <c r="C35" i="5"/>
  <c r="F57" i="5"/>
  <c r="F59" i="5" s="1"/>
  <c r="K44" i="4"/>
  <c r="I30" i="4"/>
  <c r="K31" i="4"/>
  <c r="J30" i="4"/>
  <c r="J46" i="4" s="1"/>
  <c r="T51" i="4" s="1"/>
  <c r="F18" i="4"/>
  <c r="F20" i="4" s="1"/>
  <c r="K33" i="4"/>
  <c r="C35" i="4"/>
  <c r="F12" i="4"/>
  <c r="F14" i="4" s="1"/>
  <c r="K32" i="4"/>
  <c r="J45" i="3"/>
  <c r="F7" i="3"/>
  <c r="F40" i="3"/>
  <c r="F12" i="3"/>
  <c r="F14" i="3" s="1"/>
  <c r="K8" i="3"/>
  <c r="I7" i="3"/>
  <c r="I13" i="3"/>
  <c r="K41" i="3"/>
  <c r="F40" i="2"/>
  <c r="F34" i="2"/>
  <c r="J36" i="2" s="1"/>
  <c r="J35" i="2" s="1"/>
  <c r="F18" i="2"/>
  <c r="F20" i="2" s="1"/>
  <c r="F12" i="2"/>
  <c r="F14" i="2" s="1"/>
  <c r="E35" i="2"/>
  <c r="F33" i="2"/>
  <c r="I36" i="2" s="1"/>
  <c r="F7" i="2"/>
  <c r="I7" i="2"/>
  <c r="K8" i="2"/>
  <c r="K20" i="2"/>
  <c r="I19" i="2"/>
  <c r="K19" i="2" s="1"/>
  <c r="K44" i="2"/>
  <c r="I13" i="2"/>
  <c r="K13" i="2" s="1"/>
  <c r="K14" i="2"/>
  <c r="K26" i="2"/>
  <c r="K25" i="2"/>
  <c r="I30" i="2"/>
  <c r="K31" i="2"/>
  <c r="F25" i="2"/>
  <c r="K33" i="2"/>
  <c r="C35" i="2"/>
  <c r="K32" i="2"/>
  <c r="I13" i="1"/>
  <c r="K14" i="1"/>
  <c r="K13" i="1" s="1"/>
  <c r="I7" i="1"/>
  <c r="K8" i="1"/>
  <c r="K20" i="1"/>
  <c r="K44" i="1"/>
  <c r="K26" i="1"/>
  <c r="I25" i="1"/>
  <c r="K25" i="1" s="1"/>
  <c r="I30" i="1"/>
  <c r="K31" i="1"/>
  <c r="I40" i="1"/>
  <c r="F12" i="1"/>
  <c r="F14" i="1" s="1"/>
  <c r="I19" i="1"/>
  <c r="K19" i="1" s="1"/>
  <c r="F25" i="1"/>
  <c r="K33" i="1"/>
  <c r="K32" i="1"/>
  <c r="F33" i="1"/>
  <c r="K72" i="5" l="1"/>
  <c r="W79" i="5"/>
  <c r="W78" i="5"/>
  <c r="W73" i="5"/>
  <c r="W72" i="5"/>
  <c r="U56" i="6"/>
  <c r="V56" i="6"/>
  <c r="V51" i="3"/>
  <c r="V51" i="4"/>
  <c r="V79" i="5"/>
  <c r="V78" i="5"/>
  <c r="V73" i="5"/>
  <c r="V72" i="5"/>
  <c r="U51" i="3"/>
  <c r="U51" i="4"/>
  <c r="S56" i="6"/>
  <c r="T56" i="6"/>
  <c r="T51" i="3"/>
  <c r="S52" i="1"/>
  <c r="S52" i="4"/>
  <c r="U79" i="5"/>
  <c r="U73" i="5"/>
  <c r="J46" i="5"/>
  <c r="U61" i="5" s="1"/>
  <c r="U72" i="5"/>
  <c r="U78" i="5"/>
  <c r="T79" i="5"/>
  <c r="T73" i="5"/>
  <c r="T61" i="5"/>
  <c r="T55" i="5"/>
  <c r="R52" i="1"/>
  <c r="S51" i="3"/>
  <c r="S52" i="2"/>
  <c r="R52" i="4"/>
  <c r="S79" i="5"/>
  <c r="S73" i="5"/>
  <c r="S61" i="5"/>
  <c r="S55" i="5"/>
  <c r="Q56" i="6"/>
  <c r="R56" i="6"/>
  <c r="Q52" i="1"/>
  <c r="R51" i="3"/>
  <c r="R52" i="2"/>
  <c r="Q52" i="4"/>
  <c r="R79" i="5"/>
  <c r="R73" i="5"/>
  <c r="R61" i="5"/>
  <c r="R55" i="5"/>
  <c r="Q51" i="3"/>
  <c r="Q52" i="2"/>
  <c r="O52" i="4"/>
  <c r="P52" i="4"/>
  <c r="N52" i="4"/>
  <c r="P56" i="6"/>
  <c r="O56" i="6"/>
  <c r="N56" i="6"/>
  <c r="P61" i="5"/>
  <c r="Q61" i="5"/>
  <c r="O61" i="5"/>
  <c r="P51" i="3"/>
  <c r="N51" i="3"/>
  <c r="O51" i="3"/>
  <c r="N52" i="1"/>
  <c r="O52" i="1"/>
  <c r="P52" i="1"/>
  <c r="P52" i="2"/>
  <c r="N52" i="2"/>
  <c r="O52" i="2"/>
  <c r="O60" i="5"/>
  <c r="Q60" i="5"/>
  <c r="P60" i="5"/>
  <c r="Q54" i="5"/>
  <c r="Q55" i="5"/>
  <c r="P54" i="5"/>
  <c r="P55" i="5"/>
  <c r="Q91" i="5"/>
  <c r="O55" i="5"/>
  <c r="O54" i="5"/>
  <c r="O74" i="5"/>
  <c r="J48" i="3"/>
  <c r="W57" i="3" s="1"/>
  <c r="I35" i="3"/>
  <c r="K35" i="3" s="1"/>
  <c r="J48" i="1"/>
  <c r="W57" i="1" s="1"/>
  <c r="K41" i="2"/>
  <c r="K40" i="2"/>
  <c r="K7" i="4"/>
  <c r="I35" i="4"/>
  <c r="J35" i="4"/>
  <c r="J36" i="4" s="1"/>
  <c r="J48" i="4" s="1"/>
  <c r="W57" i="4" s="1"/>
  <c r="J40" i="1"/>
  <c r="K40" i="1" s="1"/>
  <c r="J41" i="5"/>
  <c r="K41" i="5" s="1"/>
  <c r="K45" i="3"/>
  <c r="K44" i="5"/>
  <c r="J48" i="2"/>
  <c r="W57" i="2" s="1"/>
  <c r="K30" i="5"/>
  <c r="K44" i="3"/>
  <c r="K20" i="3"/>
  <c r="K30" i="3"/>
  <c r="K31" i="5"/>
  <c r="F30" i="5"/>
  <c r="F35" i="1"/>
  <c r="I35" i="5"/>
  <c r="F35" i="3"/>
  <c r="F7" i="5"/>
  <c r="K8" i="5"/>
  <c r="F34" i="5"/>
  <c r="F63" i="5"/>
  <c r="F65" i="5" s="1"/>
  <c r="F40" i="5"/>
  <c r="K26" i="3"/>
  <c r="K20" i="5"/>
  <c r="K14" i="5"/>
  <c r="E35" i="5"/>
  <c r="F35" i="5" s="1"/>
  <c r="K13" i="5"/>
  <c r="F12" i="5"/>
  <c r="F14" i="5" s="1"/>
  <c r="J25" i="5"/>
  <c r="K25" i="5" s="1"/>
  <c r="F18" i="5"/>
  <c r="F20" i="5" s="1"/>
  <c r="K19" i="5"/>
  <c r="K48" i="6"/>
  <c r="I47" i="6"/>
  <c r="J7" i="5"/>
  <c r="F35" i="4"/>
  <c r="K34" i="5"/>
  <c r="K32" i="5"/>
  <c r="I45" i="5"/>
  <c r="R54" i="5" s="1"/>
  <c r="K33" i="5"/>
  <c r="K30" i="4"/>
  <c r="K7" i="3"/>
  <c r="I46" i="3"/>
  <c r="K34" i="3"/>
  <c r="F35" i="2"/>
  <c r="I34" i="2"/>
  <c r="I35" i="2" s="1"/>
  <c r="K35" i="2" s="1"/>
  <c r="K30" i="2"/>
  <c r="K7" i="2"/>
  <c r="K30" i="1"/>
  <c r="K7" i="1"/>
  <c r="I35" i="1"/>
  <c r="K35" i="1" s="1"/>
  <c r="K47" i="6" l="1"/>
  <c r="W52" i="6" s="1"/>
  <c r="W50" i="6"/>
  <c r="V57" i="1"/>
  <c r="V57" i="3"/>
  <c r="V50" i="3"/>
  <c r="V57" i="2"/>
  <c r="V57" i="4"/>
  <c r="T60" i="5"/>
  <c r="T54" i="5"/>
  <c r="W80" i="5"/>
  <c r="I36" i="5"/>
  <c r="I48" i="5" s="1"/>
  <c r="X66" i="5" s="1"/>
  <c r="X78" i="5"/>
  <c r="X72" i="5"/>
  <c r="W74" i="5"/>
  <c r="W61" i="5"/>
  <c r="W60" i="5"/>
  <c r="W55" i="5"/>
  <c r="W54" i="5"/>
  <c r="V58" i="6"/>
  <c r="U57" i="1"/>
  <c r="U57" i="3"/>
  <c r="U57" i="2"/>
  <c r="U57" i="4"/>
  <c r="V80" i="5"/>
  <c r="V74" i="5"/>
  <c r="V61" i="5"/>
  <c r="V60" i="5"/>
  <c r="V55" i="5"/>
  <c r="V54" i="5"/>
  <c r="U58" i="6"/>
  <c r="T57" i="1"/>
  <c r="T50" i="3"/>
  <c r="U50" i="3"/>
  <c r="K46" i="5"/>
  <c r="U74" i="5"/>
  <c r="T58" i="6"/>
  <c r="S57" i="1"/>
  <c r="S57" i="2"/>
  <c r="T57" i="2"/>
  <c r="S57" i="3"/>
  <c r="T57" i="3"/>
  <c r="S52" i="3"/>
  <c r="S57" i="4"/>
  <c r="T57" i="4"/>
  <c r="U55" i="5"/>
  <c r="U80" i="5"/>
  <c r="U60" i="5"/>
  <c r="U54" i="5"/>
  <c r="T80" i="5"/>
  <c r="T74" i="5"/>
  <c r="S58" i="6"/>
  <c r="R57" i="1"/>
  <c r="R57" i="3"/>
  <c r="R57" i="2"/>
  <c r="R57" i="4"/>
  <c r="R52" i="3"/>
  <c r="S60" i="5"/>
  <c r="S54" i="5"/>
  <c r="S80" i="5"/>
  <c r="S74" i="5"/>
  <c r="R58" i="6"/>
  <c r="Q57" i="1"/>
  <c r="Q57" i="3"/>
  <c r="Q52" i="3"/>
  <c r="Q57" i="2"/>
  <c r="Q57" i="4"/>
  <c r="R80" i="5"/>
  <c r="R74" i="5"/>
  <c r="R60" i="5"/>
  <c r="R56" i="5"/>
  <c r="Q58" i="6"/>
  <c r="O58" i="6"/>
  <c r="P58" i="6"/>
  <c r="N58" i="6"/>
  <c r="O57" i="2"/>
  <c r="N57" i="2"/>
  <c r="P57" i="2"/>
  <c r="P57" i="3"/>
  <c r="N57" i="3"/>
  <c r="O57" i="3"/>
  <c r="O62" i="5"/>
  <c r="Q62" i="5"/>
  <c r="P62" i="5"/>
  <c r="P57" i="4"/>
  <c r="N57" i="4"/>
  <c r="O57" i="4"/>
  <c r="Q74" i="5"/>
  <c r="O80" i="5"/>
  <c r="P80" i="5"/>
  <c r="Q80" i="5"/>
  <c r="N52" i="3"/>
  <c r="O52" i="3"/>
  <c r="P52" i="3"/>
  <c r="P57" i="1"/>
  <c r="N57" i="1"/>
  <c r="O57" i="1"/>
  <c r="Q56" i="5"/>
  <c r="P56" i="5"/>
  <c r="P74" i="5"/>
  <c r="O56" i="5"/>
  <c r="J47" i="3"/>
  <c r="W51" i="3" s="1"/>
  <c r="J47" i="1"/>
  <c r="K35" i="4"/>
  <c r="J40" i="5"/>
  <c r="K40" i="5" s="1"/>
  <c r="K46" i="3"/>
  <c r="T52" i="3" s="1"/>
  <c r="K45" i="5"/>
  <c r="R62" i="5" s="1"/>
  <c r="J47" i="2"/>
  <c r="W51" i="2" s="1"/>
  <c r="J47" i="4"/>
  <c r="W51" i="4" s="1"/>
  <c r="K7" i="5"/>
  <c r="J35" i="5"/>
  <c r="I48" i="3"/>
  <c r="W56" i="3" s="1"/>
  <c r="K34" i="4"/>
  <c r="I46" i="4"/>
  <c r="I36" i="4"/>
  <c r="K34" i="2"/>
  <c r="I46" i="2"/>
  <c r="K34" i="1"/>
  <c r="I46" i="1"/>
  <c r="I36" i="1"/>
  <c r="W70" i="3" l="1"/>
  <c r="W69" i="3"/>
  <c r="V50" i="1"/>
  <c r="V50" i="4"/>
  <c r="X73" i="5"/>
  <c r="X79" i="5"/>
  <c r="V66" i="5"/>
  <c r="W66" i="5"/>
  <c r="W62" i="5"/>
  <c r="W56" i="5"/>
  <c r="U56" i="3"/>
  <c r="V56" i="3"/>
  <c r="V52" i="3"/>
  <c r="U50" i="2"/>
  <c r="V50" i="2"/>
  <c r="V62" i="5"/>
  <c r="V56" i="5"/>
  <c r="T50" i="1"/>
  <c r="U50" i="1"/>
  <c r="U52" i="3"/>
  <c r="T50" i="4"/>
  <c r="U50" i="4"/>
  <c r="T50" i="2"/>
  <c r="S56" i="3"/>
  <c r="T56" i="3"/>
  <c r="T66" i="5"/>
  <c r="U66" i="5"/>
  <c r="U62" i="5"/>
  <c r="U56" i="5"/>
  <c r="J36" i="5"/>
  <c r="J48" i="5" s="1"/>
  <c r="T62" i="5"/>
  <c r="T56" i="5"/>
  <c r="S62" i="5"/>
  <c r="R66" i="5"/>
  <c r="S66" i="5"/>
  <c r="S56" i="5"/>
  <c r="Q56" i="3"/>
  <c r="R56" i="3"/>
  <c r="O66" i="5"/>
  <c r="P66" i="5"/>
  <c r="Q66" i="5"/>
  <c r="N56" i="3"/>
  <c r="P56" i="3"/>
  <c r="O56" i="3"/>
  <c r="K46" i="1"/>
  <c r="K46" i="2"/>
  <c r="K46" i="4"/>
  <c r="K35" i="5"/>
  <c r="K36" i="3"/>
  <c r="I47" i="5"/>
  <c r="X60" i="5" s="1"/>
  <c r="K36" i="4"/>
  <c r="I48" i="4"/>
  <c r="W56" i="4" s="1"/>
  <c r="I47" i="3"/>
  <c r="K48" i="3"/>
  <c r="K36" i="2"/>
  <c r="I48" i="2"/>
  <c r="W56" i="2" s="1"/>
  <c r="K36" i="1"/>
  <c r="I48" i="1"/>
  <c r="V56" i="1" l="1"/>
  <c r="W56" i="1"/>
  <c r="W51" i="1"/>
  <c r="V52" i="1"/>
  <c r="W58" i="3"/>
  <c r="K47" i="3"/>
  <c r="W52" i="3" s="1"/>
  <c r="W50" i="3"/>
  <c r="V52" i="2"/>
  <c r="V52" i="4"/>
  <c r="X80" i="5"/>
  <c r="X74" i="5"/>
  <c r="W67" i="5"/>
  <c r="X67" i="5"/>
  <c r="V67" i="5"/>
  <c r="U52" i="1"/>
  <c r="V58" i="3"/>
  <c r="U56" i="2"/>
  <c r="V56" i="2"/>
  <c r="U52" i="2"/>
  <c r="U56" i="4"/>
  <c r="V56" i="4"/>
  <c r="U52" i="4"/>
  <c r="P67" i="5"/>
  <c r="S67" i="5"/>
  <c r="T56" i="1"/>
  <c r="U56" i="1"/>
  <c r="T52" i="1"/>
  <c r="U58" i="3"/>
  <c r="J47" i="5"/>
  <c r="S56" i="1"/>
  <c r="K36" i="5"/>
  <c r="O67" i="5"/>
  <c r="R67" i="5"/>
  <c r="K48" i="5"/>
  <c r="Q67" i="5"/>
  <c r="T52" i="2"/>
  <c r="S58" i="3"/>
  <c r="T58" i="3"/>
  <c r="S56" i="2"/>
  <c r="T56" i="2"/>
  <c r="S56" i="4"/>
  <c r="T56" i="4"/>
  <c r="T52" i="4"/>
  <c r="T67" i="5"/>
  <c r="U67" i="5"/>
  <c r="Q56" i="1"/>
  <c r="R56" i="1"/>
  <c r="R58" i="3"/>
  <c r="Q56" i="2"/>
  <c r="R56" i="2"/>
  <c r="Q56" i="4"/>
  <c r="R56" i="4"/>
  <c r="Q58" i="3"/>
  <c r="P56" i="2"/>
  <c r="O56" i="2"/>
  <c r="N56" i="2"/>
  <c r="N56" i="1"/>
  <c r="O56" i="1"/>
  <c r="P56" i="1"/>
  <c r="O58" i="3"/>
  <c r="P58" i="3"/>
  <c r="N58" i="3"/>
  <c r="P56" i="4"/>
  <c r="N56" i="4"/>
  <c r="O56" i="4"/>
  <c r="K48" i="4"/>
  <c r="W58" i="4" s="1"/>
  <c r="I47" i="4"/>
  <c r="K48" i="2"/>
  <c r="W58" i="2" s="1"/>
  <c r="I47" i="2"/>
  <c r="K48" i="1"/>
  <c r="W58" i="1" s="1"/>
  <c r="I47" i="1"/>
  <c r="I61" i="4"/>
  <c r="X90" i="5" l="1"/>
  <c r="W70" i="1"/>
  <c r="W69" i="1"/>
  <c r="X84" i="5"/>
  <c r="V58" i="1"/>
  <c r="K47" i="1"/>
  <c r="W52" i="1" s="1"/>
  <c r="W50" i="1"/>
  <c r="V58" i="2"/>
  <c r="W50" i="2"/>
  <c r="V58" i="4"/>
  <c r="K47" i="4"/>
  <c r="W52" i="4" s="1"/>
  <c r="W50" i="4"/>
  <c r="K47" i="5"/>
  <c r="X62" i="5" s="1"/>
  <c r="X61" i="5"/>
  <c r="W68" i="5"/>
  <c r="X68" i="5"/>
  <c r="V68" i="5"/>
  <c r="U58" i="2"/>
  <c r="U58" i="4"/>
  <c r="O68" i="5"/>
  <c r="U58" i="1"/>
  <c r="T58" i="2"/>
  <c r="T58" i="4"/>
  <c r="T58" i="1"/>
  <c r="T68" i="5"/>
  <c r="S68" i="5"/>
  <c r="P68" i="5"/>
  <c r="R68" i="5"/>
  <c r="U68" i="5"/>
  <c r="Q68" i="5"/>
  <c r="S58" i="1"/>
  <c r="S58" i="2"/>
  <c r="S58" i="4"/>
  <c r="R58" i="1"/>
  <c r="R58" i="2"/>
  <c r="R58" i="4"/>
  <c r="Q58" i="1"/>
  <c r="Q58" i="2"/>
  <c r="Q58" i="4"/>
  <c r="N58" i="1"/>
  <c r="P58" i="1"/>
  <c r="O58" i="1"/>
  <c r="N58" i="2"/>
  <c r="O58" i="2"/>
  <c r="P58" i="2"/>
  <c r="O58" i="4"/>
  <c r="P58" i="4"/>
  <c r="N58" i="4"/>
  <c r="K47" i="2"/>
  <c r="W52" i="2" s="1"/>
</calcChain>
</file>

<file path=xl/sharedStrings.xml><?xml version="1.0" encoding="utf-8"?>
<sst xmlns="http://schemas.openxmlformats.org/spreadsheetml/2006/main" count="1751" uniqueCount="104">
  <si>
    <t>OZ:</t>
  </si>
  <si>
    <t>LS Lozorno</t>
  </si>
  <si>
    <t>VP3</t>
  </si>
  <si>
    <t>M.j.</t>
  </si>
  <si>
    <t>Lesy 
štátne</t>
  </si>
  <si>
    <t>Lesy neštátne</t>
  </si>
  <si>
    <t>Spolu</t>
  </si>
  <si>
    <t>Plán podľa štvrťrokov</t>
  </si>
  <si>
    <t>neodovzdané</t>
  </si>
  <si>
    <t>prenajaté</t>
  </si>
  <si>
    <t>Q</t>
  </si>
  <si>
    <t>ihl.</t>
  </si>
  <si>
    <t>list.</t>
  </si>
  <si>
    <t>ha</t>
  </si>
  <si>
    <t>Obnovná úmyselná</t>
  </si>
  <si>
    <t>I.</t>
  </si>
  <si>
    <t>x</t>
  </si>
  <si>
    <t>Ihličnaté</t>
  </si>
  <si>
    <r>
      <t>m</t>
    </r>
    <r>
      <rPr>
        <vertAlign val="superscript"/>
        <sz val="8"/>
        <color indexed="8"/>
        <rFont val="Arial CE"/>
        <family val="2"/>
        <charset val="238"/>
      </rPr>
      <t>3</t>
    </r>
  </si>
  <si>
    <t>II.</t>
  </si>
  <si>
    <t>Listnaté</t>
  </si>
  <si>
    <t>III.</t>
  </si>
  <si>
    <r>
      <t>m</t>
    </r>
    <r>
      <rPr>
        <b/>
        <vertAlign val="superscript"/>
        <sz val="8"/>
        <color indexed="8"/>
        <rFont val="Arial CE"/>
        <family val="2"/>
        <charset val="238"/>
      </rPr>
      <t>3</t>
    </r>
  </si>
  <si>
    <t>IV.</t>
  </si>
  <si>
    <t>ROK</t>
  </si>
  <si>
    <t>Výchovná úmyselná</t>
  </si>
  <si>
    <t>Výmera</t>
  </si>
  <si>
    <t xml:space="preserve">Priemer. výťaž </t>
  </si>
  <si>
    <t>m3/ha</t>
  </si>
  <si>
    <t>z toho do 50 r.</t>
  </si>
  <si>
    <t>ztoho ponechanie pri pni</t>
  </si>
  <si>
    <t>Náhodná ťažba</t>
  </si>
  <si>
    <t>Mimoriadna ťažba</t>
  </si>
  <si>
    <t>ŤAŽBA DREVA SPOLU</t>
  </si>
  <si>
    <t>z toho samovýroba</t>
  </si>
  <si>
    <t>z toho predaj dreva na pni</t>
  </si>
  <si>
    <t>Ťažba dreva bez samovýroby</t>
  </si>
  <si>
    <t>Obnova lesa</t>
  </si>
  <si>
    <t>z toho prirodzená</t>
  </si>
  <si>
    <t>Prerezávky</t>
  </si>
  <si>
    <t>Q.</t>
  </si>
  <si>
    <t>Obnova</t>
  </si>
  <si>
    <t>z toho zmladenie</t>
  </si>
  <si>
    <r>
      <t>m</t>
    </r>
    <r>
      <rPr>
        <vertAlign val="superscript"/>
        <sz val="10"/>
        <color indexed="8"/>
        <rFont val="Arial CE"/>
        <family val="2"/>
        <charset val="238"/>
      </rPr>
      <t>3</t>
    </r>
  </si>
  <si>
    <t>ihličnaté</t>
  </si>
  <si>
    <t>listnaté</t>
  </si>
  <si>
    <r>
      <t>m</t>
    </r>
    <r>
      <rPr>
        <b/>
        <vertAlign val="superscript"/>
        <sz val="10"/>
        <color indexed="8"/>
        <rFont val="Arial CE"/>
        <family val="2"/>
        <charset val="238"/>
      </rPr>
      <t>3</t>
    </r>
  </si>
  <si>
    <t xml:space="preserve">Vyhotovil: </t>
  </si>
  <si>
    <t>Dňa:</t>
  </si>
  <si>
    <t>Pečiatka, podpis</t>
  </si>
  <si>
    <t>LS Holíč</t>
  </si>
  <si>
    <t>Mor. Ján</t>
  </si>
  <si>
    <t>OZ:Šaštín</t>
  </si>
  <si>
    <t>Ing. Smolarčík</t>
  </si>
  <si>
    <t xml:space="preserve">                                                                                Plnenie po mesiacoch</t>
  </si>
  <si>
    <t xml:space="preserve">      1.</t>
  </si>
  <si>
    <t xml:space="preserve">    1.-2.</t>
  </si>
  <si>
    <t xml:space="preserve">    1.-3.</t>
  </si>
  <si>
    <t xml:space="preserve">    1.-4.</t>
  </si>
  <si>
    <t xml:space="preserve">    1.-5.</t>
  </si>
  <si>
    <t xml:space="preserve">    1.-6.</t>
  </si>
  <si>
    <t xml:space="preserve">   1.-7.</t>
  </si>
  <si>
    <t xml:space="preserve">   1.-8.</t>
  </si>
  <si>
    <t xml:space="preserve">    1.-9.</t>
  </si>
  <si>
    <t xml:space="preserve">   1.-10.</t>
  </si>
  <si>
    <t xml:space="preserve">   1.-11.</t>
  </si>
  <si>
    <t xml:space="preserve">   1.-12.</t>
  </si>
  <si>
    <t xml:space="preserve">                                                                                  Obnovná úmyselná</t>
  </si>
  <si>
    <t xml:space="preserve">                                                                                  Výchovná úmyselná</t>
  </si>
  <si>
    <t xml:space="preserve">                                                                                     z toho do 50 r.</t>
  </si>
  <si>
    <t xml:space="preserve">                                                                                   Náhodná ťažba</t>
  </si>
  <si>
    <t xml:space="preserve">                                                                                 Mimoriadna ťažba</t>
  </si>
  <si>
    <t xml:space="preserve">                                                                               Ťažba dreva spolu</t>
  </si>
  <si>
    <t xml:space="preserve">                                                                                z toho samovýroba</t>
  </si>
  <si>
    <r>
      <t xml:space="preserve">                                                                               Ťažba dreva bez samovýroby m</t>
    </r>
    <r>
      <rPr>
        <b/>
        <vertAlign val="superscript"/>
        <sz val="11"/>
        <rFont val="Arial"/>
        <family val="2"/>
        <charset val="238"/>
      </rPr>
      <t>3</t>
    </r>
  </si>
  <si>
    <t xml:space="preserve">                                              Ťažba dreva bez samovýroby v % ku kvartálnemu plánu ťažby</t>
  </si>
  <si>
    <t xml:space="preserve">                                              Ťažba dreva bez samovýroby v % k ročnému plánu ťažby</t>
  </si>
  <si>
    <t xml:space="preserve"> podpis</t>
  </si>
  <si>
    <t>spolu</t>
  </si>
  <si>
    <t>predaj dreva na pni</t>
  </si>
  <si>
    <r>
      <t xml:space="preserve">                                                                               Ťažba dreva bez samovýroby a predaja na pni m</t>
    </r>
    <r>
      <rPr>
        <b/>
        <vertAlign val="superscript"/>
        <sz val="11"/>
        <rFont val="Arial"/>
        <family val="2"/>
        <charset val="238"/>
      </rPr>
      <t>3</t>
    </r>
  </si>
  <si>
    <r>
      <t xml:space="preserve">                                                                               Rozdiel plán - ťažba dreva bez samovýroby a predaja na pni m</t>
    </r>
    <r>
      <rPr>
        <b/>
        <vertAlign val="superscript"/>
        <sz val="11"/>
        <rFont val="Arial"/>
        <family val="2"/>
        <charset val="238"/>
      </rPr>
      <t>3</t>
    </r>
  </si>
  <si>
    <t xml:space="preserve">                                                                               Rozdiel plán - ťažba dreva splolu</t>
  </si>
  <si>
    <t xml:space="preserve">                                              Ťažba dreva spolu v % ku kvartálnemu plánu ťažby</t>
  </si>
  <si>
    <t>LS Sološnica</t>
  </si>
  <si>
    <t>Ing. Ondrejková</t>
  </si>
  <si>
    <t>skut list.</t>
  </si>
  <si>
    <t>plán list.</t>
  </si>
  <si>
    <t>mesiac</t>
  </si>
  <si>
    <t>skut ihl.</t>
  </si>
  <si>
    <t>plán ihl.</t>
  </si>
  <si>
    <t>skut spolu</t>
  </si>
  <si>
    <t>plán spolu</t>
  </si>
  <si>
    <t>%</t>
  </si>
  <si>
    <t>skutočnosť</t>
  </si>
  <si>
    <t>rozdiel</t>
  </si>
  <si>
    <t>Obnova lesa,  rozdiel plán - skutočnosť  v ha a v  %</t>
  </si>
  <si>
    <t>Prerezávky, rozdiel plán - skutočnosť   v ha a v  %</t>
  </si>
  <si>
    <t>výmera (ha)</t>
  </si>
  <si>
    <t>Plán ťažbovej a pestovnej činnosti na rok 2018</t>
  </si>
  <si>
    <t>Bilancované úlohy v ťažbovej a pestovnej činnosti pre rok 2018</t>
  </si>
  <si>
    <t>Bil.</t>
  </si>
  <si>
    <t>ihlič.</t>
  </si>
  <si>
    <t>SA: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</si>
</sst>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4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8"/>
      <color indexed="8"/>
      <name val="Arial CE"/>
      <family val="2"/>
      <charset val="238"/>
    </font>
    <font>
      <vertAlign val="superscript"/>
      <sz val="8"/>
      <color indexed="8"/>
      <name val="Arial CE"/>
      <family val="2"/>
      <charset val="238"/>
    </font>
    <font>
      <b/>
      <vertAlign val="superscript"/>
      <sz val="8"/>
      <color indexed="8"/>
      <name val="Arial CE"/>
      <family val="2"/>
      <charset val="238"/>
    </font>
    <font>
      <b/>
      <i/>
      <sz val="10"/>
      <color indexed="8"/>
      <name val="Arial CE"/>
      <family val="2"/>
      <charset val="238"/>
    </font>
    <font>
      <b/>
      <sz val="9"/>
      <color indexed="8"/>
      <name val="Arial CE"/>
      <family val="2"/>
      <charset val="238"/>
    </font>
    <font>
      <vertAlign val="superscript"/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b/>
      <vertAlign val="superscript"/>
      <sz val="10"/>
      <color indexed="8"/>
      <name val="Arial CE"/>
      <family val="2"/>
      <charset val="238"/>
    </font>
    <font>
      <sz val="9"/>
      <color indexed="8"/>
      <name val="Arial CE"/>
      <family val="2"/>
      <charset val="238"/>
    </font>
    <font>
      <sz val="10"/>
      <color indexed="8"/>
      <name val="Arial CE"/>
      <charset val="238"/>
    </font>
    <font>
      <sz val="10"/>
      <color indexed="8"/>
      <name val="MS Sans Serif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0"/>
      <name val="Arial CE"/>
      <charset val="238"/>
    </font>
    <font>
      <b/>
      <sz val="10"/>
      <color indexed="8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4" fillId="0" borderId="0" applyFont="0" applyFill="0" applyBorder="0" applyAlignment="0" applyProtection="0"/>
    <xf numFmtId="0" fontId="15" fillId="0" borderId="0"/>
    <xf numFmtId="0" fontId="20" fillId="0" borderId="0"/>
    <xf numFmtId="0" fontId="20" fillId="0" borderId="0"/>
  </cellStyleXfs>
  <cellXfs count="402">
    <xf numFmtId="0" fontId="0" fillId="0" borderId="0" xfId="0"/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2" fillId="0" borderId="11" xfId="0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Protection="1">
      <protection locked="0"/>
    </xf>
    <xf numFmtId="0" fontId="4" fillId="2" borderId="4" xfId="0" applyFont="1" applyFill="1" applyBorder="1" applyProtection="1"/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Protection="1"/>
    <xf numFmtId="0" fontId="5" fillId="0" borderId="15" xfId="0" applyFont="1" applyFill="1" applyBorder="1" applyAlignment="1" applyProtection="1">
      <alignment horizontal="center"/>
    </xf>
    <xf numFmtId="0" fontId="4" fillId="0" borderId="16" xfId="0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2" borderId="17" xfId="0" applyFont="1" applyFill="1" applyBorder="1" applyProtection="1"/>
    <xf numFmtId="0" fontId="4" fillId="0" borderId="15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2" fillId="2" borderId="9" xfId="0" applyFont="1" applyFill="1" applyBorder="1" applyProtection="1"/>
    <xf numFmtId="0" fontId="2" fillId="2" borderId="10" xfId="0" applyFont="1" applyFill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/>
    </xf>
    <xf numFmtId="0" fontId="2" fillId="0" borderId="19" xfId="0" applyFont="1" applyFill="1" applyBorder="1" applyAlignment="1" applyProtection="1">
      <alignment horizontal="center"/>
    </xf>
    <xf numFmtId="0" fontId="4" fillId="0" borderId="15" xfId="0" applyFont="1" applyFill="1" applyBorder="1" applyProtection="1">
      <protection locked="0"/>
    </xf>
    <xf numFmtId="0" fontId="4" fillId="0" borderId="21" xfId="0" applyFont="1" applyFill="1" applyBorder="1" applyProtection="1"/>
    <xf numFmtId="0" fontId="5" fillId="0" borderId="22" xfId="0" applyFont="1" applyFill="1" applyBorder="1" applyAlignment="1" applyProtection="1">
      <alignment horizontal="center"/>
    </xf>
    <xf numFmtId="0" fontId="4" fillId="0" borderId="23" xfId="0" applyFont="1" applyFill="1" applyBorder="1" applyProtection="1">
      <protection locked="0"/>
    </xf>
    <xf numFmtId="0" fontId="4" fillId="0" borderId="24" xfId="0" applyFont="1" applyFill="1" applyBorder="1" applyProtection="1">
      <protection locked="0"/>
    </xf>
    <xf numFmtId="0" fontId="2" fillId="2" borderId="22" xfId="0" applyFont="1" applyFill="1" applyBorder="1" applyAlignment="1" applyProtection="1">
      <alignment horizontal="right"/>
    </xf>
    <xf numFmtId="0" fontId="4" fillId="0" borderId="21" xfId="0" applyFont="1" applyFill="1" applyBorder="1" applyAlignment="1" applyProtection="1">
      <alignment horizontal="center"/>
      <protection locked="0"/>
    </xf>
    <xf numFmtId="0" fontId="4" fillId="2" borderId="24" xfId="0" applyFont="1" applyFill="1" applyBorder="1" applyProtection="1"/>
    <xf numFmtId="0" fontId="4" fillId="0" borderId="22" xfId="0" applyFont="1" applyFill="1" applyBorder="1" applyProtection="1">
      <protection locked="0"/>
    </xf>
    <xf numFmtId="0" fontId="2" fillId="2" borderId="14" xfId="0" applyFont="1" applyFill="1" applyBorder="1" applyProtection="1"/>
    <xf numFmtId="0" fontId="3" fillId="2" borderId="15" xfId="0" applyFont="1" applyFill="1" applyBorder="1" applyAlignment="1" applyProtection="1">
      <alignment horizontal="center"/>
    </xf>
    <xf numFmtId="0" fontId="2" fillId="2" borderId="16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horizontal="right"/>
      <protection locked="0"/>
    </xf>
    <xf numFmtId="0" fontId="4" fillId="3" borderId="14" xfId="0" applyFont="1" applyFill="1" applyBorder="1" applyProtection="1"/>
    <xf numFmtId="0" fontId="5" fillId="3" borderId="15" xfId="0" applyFont="1" applyFill="1" applyBorder="1" applyAlignment="1" applyProtection="1">
      <alignment horizontal="center"/>
    </xf>
    <xf numFmtId="0" fontId="2" fillId="3" borderId="15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4" fillId="2" borderId="15" xfId="0" applyFont="1" applyFill="1" applyBorder="1" applyProtection="1"/>
    <xf numFmtId="0" fontId="5" fillId="4" borderId="6" xfId="0" applyFont="1" applyFill="1" applyBorder="1" applyProtection="1"/>
    <xf numFmtId="0" fontId="5" fillId="4" borderId="10" xfId="0" applyFont="1" applyFill="1" applyBorder="1" applyAlignment="1" applyProtection="1">
      <alignment horizontal="center"/>
    </xf>
    <xf numFmtId="2" fontId="5" fillId="4" borderId="8" xfId="0" applyNumberFormat="1" applyFont="1" applyFill="1" applyBorder="1" applyProtection="1">
      <protection locked="0"/>
    </xf>
    <xf numFmtId="2" fontId="5" fillId="4" borderId="9" xfId="0" applyNumberFormat="1" applyFont="1" applyFill="1" applyBorder="1" applyProtection="1">
      <protection locked="0"/>
    </xf>
    <xf numFmtId="2" fontId="3" fillId="4" borderId="10" xfId="0" applyNumberFormat="1" applyFont="1" applyFill="1" applyBorder="1" applyAlignment="1" applyProtection="1">
      <alignment horizontal="right"/>
      <protection locked="0"/>
    </xf>
    <xf numFmtId="2" fontId="2" fillId="0" borderId="0" xfId="0" applyNumberFormat="1" applyFont="1" applyFill="1" applyBorder="1" applyAlignment="1" applyProtection="1">
      <alignment horizontal="right"/>
    </xf>
    <xf numFmtId="0" fontId="2" fillId="0" borderId="6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Protection="1"/>
    <xf numFmtId="0" fontId="2" fillId="2" borderId="16" xfId="0" applyFont="1" applyFill="1" applyBorder="1" applyProtection="1"/>
    <xf numFmtId="0" fontId="2" fillId="2" borderId="17" xfId="0" applyFont="1" applyFill="1" applyBorder="1" applyProtection="1"/>
    <xf numFmtId="0" fontId="5" fillId="4" borderId="14" xfId="0" applyFont="1" applyFill="1" applyBorder="1" applyProtection="1"/>
    <xf numFmtId="0" fontId="5" fillId="4" borderId="15" xfId="0" applyFont="1" applyFill="1" applyBorder="1" applyAlignment="1" applyProtection="1">
      <alignment horizontal="center"/>
    </xf>
    <xf numFmtId="2" fontId="5" fillId="4" borderId="16" xfId="0" applyNumberFormat="1" applyFont="1" applyFill="1" applyBorder="1" applyProtection="1">
      <protection locked="0"/>
    </xf>
    <xf numFmtId="2" fontId="5" fillId="4" borderId="17" xfId="0" applyNumberFormat="1" applyFont="1" applyFill="1" applyBorder="1" applyProtection="1">
      <protection locked="0"/>
    </xf>
    <xf numFmtId="2" fontId="3" fillId="4" borderId="15" xfId="0" applyNumberFormat="1" applyFont="1" applyFill="1" applyBorder="1" applyAlignment="1" applyProtection="1">
      <alignment horizontal="right"/>
      <protection locked="0"/>
    </xf>
    <xf numFmtId="0" fontId="4" fillId="0" borderId="27" xfId="0" applyFont="1" applyFill="1" applyBorder="1" applyProtection="1">
      <protection locked="0"/>
    </xf>
    <xf numFmtId="0" fontId="4" fillId="0" borderId="28" xfId="0" applyFont="1" applyFill="1" applyBorder="1" applyProtection="1">
      <protection locked="0"/>
    </xf>
    <xf numFmtId="0" fontId="2" fillId="2" borderId="29" xfId="0" applyFont="1" applyFill="1" applyBorder="1" applyAlignment="1" applyProtection="1">
      <alignment horizontal="right"/>
    </xf>
    <xf numFmtId="0" fontId="4" fillId="0" borderId="25" xfId="0" applyFont="1" applyFill="1" applyBorder="1" applyAlignment="1" applyProtection="1">
      <alignment horizontal="center"/>
      <protection locked="0"/>
    </xf>
    <xf numFmtId="0" fontId="4" fillId="0" borderId="30" xfId="0" applyFont="1" applyFill="1" applyBorder="1" applyProtection="1">
      <protection locked="0"/>
    </xf>
    <xf numFmtId="0" fontId="4" fillId="0" borderId="26" xfId="0" applyFont="1" applyFill="1" applyBorder="1" applyProtection="1">
      <protection locked="0"/>
    </xf>
    <xf numFmtId="0" fontId="2" fillId="0" borderId="31" xfId="0" applyFont="1" applyFill="1" applyBorder="1" applyAlignment="1" applyProtection="1">
      <alignment horizontal="center"/>
      <protection locked="0"/>
    </xf>
    <xf numFmtId="0" fontId="2" fillId="2" borderId="28" xfId="0" applyFont="1" applyFill="1" applyBorder="1" applyProtection="1"/>
    <xf numFmtId="0" fontId="2" fillId="2" borderId="29" xfId="0" applyFont="1" applyFill="1" applyBorder="1" applyAlignment="1" applyProtection="1">
      <alignment horizontal="center"/>
    </xf>
    <xf numFmtId="0" fontId="4" fillId="5" borderId="16" xfId="0" applyFont="1" applyFill="1" applyBorder="1" applyProtection="1">
      <protection locked="0"/>
    </xf>
    <xf numFmtId="0" fontId="4" fillId="2" borderId="14" xfId="0" applyFont="1" applyFill="1" applyBorder="1" applyProtection="1"/>
    <xf numFmtId="0" fontId="5" fillId="2" borderId="15" xfId="0" applyFont="1" applyFill="1" applyBorder="1" applyAlignment="1" applyProtection="1">
      <alignment horizontal="center"/>
    </xf>
    <xf numFmtId="0" fontId="4" fillId="2" borderId="16" xfId="0" applyFont="1" applyFill="1" applyBorder="1" applyProtection="1"/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0" fontId="4" fillId="2" borderId="22" xfId="0" applyFont="1" applyFill="1" applyBorder="1" applyAlignment="1" applyProtection="1">
      <alignment horizontal="center"/>
    </xf>
    <xf numFmtId="0" fontId="2" fillId="2" borderId="31" xfId="0" applyFont="1" applyFill="1" applyBorder="1" applyProtection="1"/>
    <xf numFmtId="0" fontId="3" fillId="2" borderId="29" xfId="0" applyFont="1" applyFill="1" applyBorder="1" applyAlignment="1" applyProtection="1">
      <alignment horizontal="center"/>
    </xf>
    <xf numFmtId="0" fontId="2" fillId="2" borderId="27" xfId="0" applyFont="1" applyFill="1" applyBorder="1" applyProtection="1"/>
    <xf numFmtId="0" fontId="9" fillId="0" borderId="1" xfId="0" applyFont="1" applyFill="1" applyBorder="1" applyProtection="1"/>
    <xf numFmtId="0" fontId="4" fillId="0" borderId="5" xfId="0" applyFont="1" applyFill="1" applyBorder="1" applyAlignment="1" applyProtection="1">
      <alignment horizontal="center"/>
    </xf>
    <xf numFmtId="0" fontId="4" fillId="0" borderId="3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right"/>
    </xf>
    <xf numFmtId="0" fontId="9" fillId="0" borderId="14" xfId="0" applyFont="1" applyFill="1" applyBorder="1" applyProtection="1"/>
    <xf numFmtId="0" fontId="4" fillId="0" borderId="15" xfId="0" applyFont="1" applyFill="1" applyBorder="1" applyAlignment="1" applyProtection="1">
      <alignment horizontal="center"/>
    </xf>
    <xf numFmtId="0" fontId="9" fillId="0" borderId="31" xfId="0" applyFont="1" applyFill="1" applyBorder="1" applyProtection="1"/>
    <xf numFmtId="0" fontId="4" fillId="0" borderId="29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2" fillId="0" borderId="1" xfId="0" applyFont="1" applyFill="1" applyBorder="1" applyAlignment="1" applyProtection="1">
      <alignment horizontal="center"/>
      <protection locked="0"/>
    </xf>
    <xf numFmtId="0" fontId="4" fillId="2" borderId="31" xfId="0" applyFont="1" applyFill="1" applyBorder="1" applyProtection="1"/>
    <xf numFmtId="0" fontId="4" fillId="2" borderId="29" xfId="0" applyFont="1" applyFill="1" applyBorder="1" applyAlignment="1" applyProtection="1">
      <alignment horizontal="center"/>
    </xf>
    <xf numFmtId="0" fontId="4" fillId="2" borderId="27" xfId="0" applyFont="1" applyFill="1" applyBorder="1" applyProtection="1"/>
    <xf numFmtId="0" fontId="4" fillId="2" borderId="28" xfId="0" applyFont="1" applyFill="1" applyBorder="1" applyProtection="1"/>
    <xf numFmtId="0" fontId="2" fillId="2" borderId="29" xfId="0" applyFont="1" applyFill="1" applyBorder="1" applyProtection="1"/>
    <xf numFmtId="0" fontId="2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2" fillId="2" borderId="15" xfId="0" applyFont="1" applyFill="1" applyBorder="1" applyProtection="1"/>
    <xf numFmtId="0" fontId="11" fillId="0" borderId="16" xfId="0" applyFont="1" applyFill="1" applyBorder="1" applyProtection="1">
      <protection locked="0"/>
    </xf>
    <xf numFmtId="0" fontId="11" fillId="0" borderId="17" xfId="0" applyFont="1" applyFill="1" applyBorder="1" applyProtection="1">
      <protection locked="0"/>
    </xf>
    <xf numFmtId="0" fontId="11" fillId="3" borderId="15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5" fillId="4" borderId="31" xfId="0" applyFont="1" applyFill="1" applyBorder="1" applyProtection="1"/>
    <xf numFmtId="0" fontId="5" fillId="4" borderId="29" xfId="0" applyFont="1" applyFill="1" applyBorder="1" applyAlignment="1" applyProtection="1">
      <alignment horizontal="center"/>
    </xf>
    <xf numFmtId="2" fontId="5" fillId="4" borderId="27" xfId="0" applyNumberFormat="1" applyFont="1" applyFill="1" applyBorder="1" applyProtection="1">
      <protection locked="0"/>
    </xf>
    <xf numFmtId="2" fontId="5" fillId="4" borderId="28" xfId="0" applyNumberFormat="1" applyFont="1" applyFill="1" applyBorder="1" applyProtection="1">
      <protection locked="0"/>
    </xf>
    <xf numFmtId="2" fontId="5" fillId="4" borderId="29" xfId="0" applyNumberFormat="1" applyFont="1" applyFill="1" applyBorder="1" applyAlignment="1" applyProtection="1">
      <alignment horizontal="right"/>
      <protection locked="0"/>
    </xf>
    <xf numFmtId="2" fontId="4" fillId="0" borderId="0" xfId="0" applyNumberFormat="1" applyFont="1" applyFill="1" applyBorder="1" applyAlignment="1" applyProtection="1">
      <alignment horizontal="right"/>
    </xf>
    <xf numFmtId="0" fontId="2" fillId="2" borderId="15" xfId="0" applyFont="1" applyFill="1" applyBorder="1" applyAlignment="1" applyProtection="1">
      <alignment horizontal="center"/>
    </xf>
    <xf numFmtId="0" fontId="2" fillId="0" borderId="1" xfId="0" applyFont="1" applyFill="1" applyBorder="1" applyProtection="1"/>
    <xf numFmtId="0" fontId="4" fillId="2" borderId="5" xfId="0" applyFont="1" applyFill="1" applyBorder="1" applyProtection="1"/>
    <xf numFmtId="0" fontId="2" fillId="0" borderId="31" xfId="0" applyFont="1" applyFill="1" applyBorder="1" applyProtection="1"/>
    <xf numFmtId="0" fontId="4" fillId="2" borderId="29" xfId="0" applyFont="1" applyFill="1" applyBorder="1" applyProtection="1"/>
    <xf numFmtId="0" fontId="5" fillId="0" borderId="0" xfId="0" applyFont="1" applyFill="1" applyBorder="1" applyProtection="1"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14" fontId="5" fillId="0" borderId="0" xfId="0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4" fontId="0" fillId="0" borderId="0" xfId="0" applyNumberFormat="1" applyFill="1" applyBorder="1" applyProtection="1">
      <protection locked="0"/>
    </xf>
    <xf numFmtId="0" fontId="0" fillId="0" borderId="0" xfId="0" applyFill="1" applyProtection="1">
      <protection locked="0"/>
    </xf>
    <xf numFmtId="1" fontId="4" fillId="2" borderId="4" xfId="0" applyNumberFormat="1" applyFont="1" applyFill="1" applyBorder="1" applyProtection="1"/>
    <xf numFmtId="2" fontId="2" fillId="2" borderId="9" xfId="0" applyNumberFormat="1" applyFont="1" applyFill="1" applyBorder="1" applyProtection="1"/>
    <xf numFmtId="0" fontId="2" fillId="0" borderId="41" xfId="0" applyFont="1" applyFill="1" applyBorder="1" applyAlignment="1" applyProtection="1">
      <alignment vertical="center"/>
      <protection locked="0"/>
    </xf>
    <xf numFmtId="1" fontId="4" fillId="0" borderId="16" xfId="0" applyNumberFormat="1" applyFont="1" applyFill="1" applyBorder="1" applyProtection="1">
      <protection locked="0"/>
    </xf>
    <xf numFmtId="1" fontId="4" fillId="2" borderId="17" xfId="0" applyNumberFormat="1" applyFont="1" applyFill="1" applyBorder="1" applyProtection="1"/>
    <xf numFmtId="1" fontId="2" fillId="2" borderId="9" xfId="0" applyNumberFormat="1" applyFont="1" applyFill="1" applyBorder="1" applyProtection="1"/>
    <xf numFmtId="1" fontId="4" fillId="2" borderId="24" xfId="0" applyNumberFormat="1" applyFont="1" applyFill="1" applyBorder="1" applyProtection="1"/>
    <xf numFmtId="1" fontId="4" fillId="2" borderId="15" xfId="0" applyNumberFormat="1" applyFont="1" applyFill="1" applyBorder="1" applyProtection="1"/>
    <xf numFmtId="1" fontId="2" fillId="2" borderId="10" xfId="0" applyNumberFormat="1" applyFont="1" applyFill="1" applyBorder="1" applyProtection="1"/>
    <xf numFmtId="1" fontId="2" fillId="2" borderId="28" xfId="0" applyNumberFormat="1" applyFont="1" applyFill="1" applyBorder="1" applyProtection="1"/>
    <xf numFmtId="1" fontId="4" fillId="2" borderId="27" xfId="0" applyNumberFormat="1" applyFont="1" applyFill="1" applyBorder="1" applyProtection="1"/>
    <xf numFmtId="1" fontId="4" fillId="2" borderId="28" xfId="0" applyNumberFormat="1" applyFont="1" applyFill="1" applyBorder="1" applyProtection="1"/>
    <xf numFmtId="1" fontId="2" fillId="2" borderId="29" xfId="0" applyNumberFormat="1" applyFont="1" applyFill="1" applyBorder="1" applyProtection="1"/>
    <xf numFmtId="1" fontId="4" fillId="2" borderId="16" xfId="0" applyNumberFormat="1" applyFont="1" applyFill="1" applyBorder="1" applyProtection="1"/>
    <xf numFmtId="1" fontId="2" fillId="2" borderId="15" xfId="0" applyNumberFormat="1" applyFont="1" applyFill="1" applyBorder="1" applyProtection="1"/>
    <xf numFmtId="1" fontId="11" fillId="3" borderId="15" xfId="0" applyNumberFormat="1" applyFont="1" applyFill="1" applyBorder="1" applyAlignment="1" applyProtection="1">
      <alignment horizontal="right"/>
    </xf>
    <xf numFmtId="1" fontId="5" fillId="4" borderId="27" xfId="0" applyNumberFormat="1" applyFont="1" applyFill="1" applyBorder="1" applyProtection="1">
      <protection locked="0"/>
    </xf>
    <xf numFmtId="1" fontId="5" fillId="4" borderId="28" xfId="0" applyNumberFormat="1" applyFont="1" applyFill="1" applyBorder="1" applyProtection="1">
      <protection locked="0"/>
    </xf>
    <xf numFmtId="1" fontId="5" fillId="4" borderId="29" xfId="0" applyNumberFormat="1" applyFont="1" applyFill="1" applyBorder="1" applyAlignment="1" applyProtection="1">
      <alignment horizontal="right"/>
      <protection locked="0"/>
    </xf>
    <xf numFmtId="1" fontId="2" fillId="2" borderId="16" xfId="0" applyNumberFormat="1" applyFont="1" applyFill="1" applyBorder="1" applyProtection="1"/>
    <xf numFmtId="1" fontId="2" fillId="2" borderId="17" xfId="0" applyNumberFormat="1" applyFont="1" applyFill="1" applyBorder="1" applyProtection="1"/>
    <xf numFmtId="1" fontId="2" fillId="2" borderId="15" xfId="0" applyNumberFormat="1" applyFont="1" applyFill="1" applyBorder="1" applyAlignment="1" applyProtection="1">
      <alignment horizontal="right"/>
    </xf>
    <xf numFmtId="1" fontId="2" fillId="2" borderId="22" xfId="0" applyNumberFormat="1" applyFont="1" applyFill="1" applyBorder="1" applyAlignment="1" applyProtection="1">
      <alignment horizontal="right"/>
    </xf>
    <xf numFmtId="1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1" fontId="2" fillId="2" borderId="15" xfId="0" applyNumberFormat="1" applyFont="1" applyFill="1" applyBorder="1" applyAlignment="1" applyProtection="1">
      <alignment horizontal="right"/>
      <protection locked="0"/>
    </xf>
    <xf numFmtId="1" fontId="2" fillId="3" borderId="15" xfId="0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/>
    </xf>
    <xf numFmtId="0" fontId="3" fillId="2" borderId="29" xfId="0" applyFont="1" applyFill="1" applyBorder="1" applyAlignment="1" applyProtection="1">
      <alignment horizontal="center"/>
    </xf>
    <xf numFmtId="0" fontId="2" fillId="2" borderId="15" xfId="0" applyFont="1" applyFill="1" applyBorder="1" applyAlignment="1" applyProtection="1">
      <alignment horizontal="right"/>
    </xf>
    <xf numFmtId="0" fontId="2" fillId="2" borderId="29" xfId="0" applyFont="1" applyFill="1" applyBorder="1" applyAlignment="1" applyProtection="1">
      <alignment horizontal="right"/>
    </xf>
    <xf numFmtId="0" fontId="1" fillId="6" borderId="15" xfId="0" applyFont="1" applyFill="1" applyBorder="1" applyAlignment="1" applyProtection="1">
      <alignment horizontal="right"/>
    </xf>
    <xf numFmtId="0" fontId="4" fillId="0" borderId="0" xfId="0" applyFont="1" applyFill="1" applyAlignment="1" applyProtection="1">
      <alignment horizontal="center"/>
      <protection locked="0"/>
    </xf>
    <xf numFmtId="0" fontId="14" fillId="3" borderId="15" xfId="0" applyFont="1" applyFill="1" applyBorder="1" applyAlignment="1" applyProtection="1">
      <alignment horizontal="right"/>
    </xf>
    <xf numFmtId="1" fontId="2" fillId="2" borderId="5" xfId="0" applyNumberFormat="1" applyFont="1" applyFill="1" applyBorder="1" applyAlignment="1" applyProtection="1">
      <alignment horizontal="right"/>
    </xf>
    <xf numFmtId="1" fontId="2" fillId="2" borderId="29" xfId="0" applyNumberFormat="1" applyFont="1" applyFill="1" applyBorder="1" applyAlignment="1" applyProtection="1">
      <alignment horizontal="right"/>
    </xf>
    <xf numFmtId="3" fontId="0" fillId="0" borderId="0" xfId="0" applyNumberFormat="1"/>
    <xf numFmtId="0" fontId="17" fillId="0" borderId="31" xfId="0" applyFont="1" applyBorder="1"/>
    <xf numFmtId="0" fontId="17" fillId="0" borderId="28" xfId="0" applyFont="1" applyBorder="1"/>
    <xf numFmtId="0" fontId="17" fillId="0" borderId="29" xfId="0" applyFont="1" applyBorder="1"/>
    <xf numFmtId="3" fontId="0" fillId="0" borderId="38" xfId="0" applyNumberFormat="1" applyBorder="1"/>
    <xf numFmtId="3" fontId="0" fillId="0" borderId="31" xfId="0" applyNumberFormat="1" applyBorder="1"/>
    <xf numFmtId="3" fontId="17" fillId="0" borderId="39" xfId="0" applyNumberFormat="1" applyFont="1" applyBorder="1"/>
    <xf numFmtId="3" fontId="17" fillId="0" borderId="40" xfId="0" applyNumberFormat="1" applyFont="1" applyBorder="1"/>
    <xf numFmtId="3" fontId="0" fillId="0" borderId="40" xfId="0" applyNumberFormat="1" applyBorder="1"/>
    <xf numFmtId="3" fontId="0" fillId="0" borderId="37" xfId="0" applyNumberFormat="1" applyBorder="1"/>
    <xf numFmtId="3" fontId="0" fillId="7" borderId="1" xfId="0" applyNumberFormat="1" applyFill="1" applyBorder="1"/>
    <xf numFmtId="3" fontId="0" fillId="7" borderId="14" xfId="0" applyNumberFormat="1" applyFill="1" applyBorder="1"/>
    <xf numFmtId="3" fontId="17" fillId="7" borderId="31" xfId="0" applyNumberFormat="1" applyFont="1" applyFill="1" applyBorder="1"/>
    <xf numFmtId="0" fontId="5" fillId="0" borderId="0" xfId="0" applyFont="1" applyFill="1" applyBorder="1" applyProtection="1"/>
    <xf numFmtId="3" fontId="0" fillId="7" borderId="42" xfId="0" applyNumberFormat="1" applyFill="1" applyBorder="1"/>
    <xf numFmtId="3" fontId="4" fillId="0" borderId="16" xfId="3" applyNumberFormat="1" applyFont="1" applyFill="1" applyBorder="1" applyProtection="1">
      <protection locked="0"/>
    </xf>
    <xf numFmtId="3" fontId="4" fillId="2" borderId="15" xfId="3" applyNumberFormat="1" applyFont="1" applyFill="1" applyBorder="1" applyProtection="1"/>
    <xf numFmtId="3" fontId="21" fillId="2" borderId="27" xfId="3" applyNumberFormat="1" applyFont="1" applyFill="1" applyBorder="1" applyProtection="1"/>
    <xf numFmtId="3" fontId="21" fillId="2" borderId="28" xfId="3" applyNumberFormat="1" applyFont="1" applyFill="1" applyBorder="1" applyProtection="1"/>
    <xf numFmtId="3" fontId="2" fillId="2" borderId="29" xfId="3" applyNumberFormat="1" applyFont="1" applyFill="1" applyBorder="1" applyProtection="1"/>
    <xf numFmtId="3" fontId="21" fillId="2" borderId="16" xfId="3" applyNumberFormat="1" applyFont="1" applyFill="1" applyBorder="1" applyProtection="1"/>
    <xf numFmtId="3" fontId="21" fillId="2" borderId="17" xfId="3" applyNumberFormat="1" applyFont="1" applyFill="1" applyBorder="1" applyProtection="1"/>
    <xf numFmtId="3" fontId="2" fillId="2" borderId="15" xfId="3" applyNumberFormat="1" applyFont="1" applyFill="1" applyBorder="1" applyProtection="1"/>
    <xf numFmtId="3" fontId="11" fillId="3" borderId="15" xfId="3" applyNumberFormat="1" applyFont="1" applyFill="1" applyBorder="1" applyAlignment="1" applyProtection="1">
      <alignment horizontal="right"/>
    </xf>
    <xf numFmtId="2" fontId="3" fillId="4" borderId="10" xfId="3" applyNumberFormat="1" applyFont="1" applyFill="1" applyBorder="1" applyAlignment="1" applyProtection="1">
      <alignment horizontal="right"/>
      <protection locked="0"/>
    </xf>
    <xf numFmtId="3" fontId="2" fillId="2" borderId="16" xfId="3" applyNumberFormat="1" applyFont="1" applyFill="1" applyBorder="1" applyProtection="1"/>
    <xf numFmtId="3" fontId="2" fillId="2" borderId="17" xfId="3" applyNumberFormat="1" applyFont="1" applyFill="1" applyBorder="1" applyProtection="1"/>
    <xf numFmtId="2" fontId="3" fillId="4" borderId="42" xfId="3" applyNumberFormat="1" applyFont="1" applyFill="1" applyBorder="1" applyAlignment="1" applyProtection="1">
      <alignment horizontal="right"/>
      <protection locked="0"/>
    </xf>
    <xf numFmtId="2" fontId="3" fillId="4" borderId="29" xfId="3" applyNumberFormat="1" applyFont="1" applyFill="1" applyBorder="1" applyAlignment="1" applyProtection="1">
      <alignment horizontal="right"/>
      <protection locked="0"/>
    </xf>
    <xf numFmtId="1" fontId="4" fillId="0" borderId="16" xfId="4" applyNumberFormat="1" applyFont="1" applyFill="1" applyBorder="1" applyProtection="1">
      <protection locked="0"/>
    </xf>
    <xf numFmtId="1" fontId="4" fillId="2" borderId="15" xfId="3" applyNumberFormat="1" applyFont="1" applyFill="1" applyBorder="1" applyProtection="1"/>
    <xf numFmtId="1" fontId="4" fillId="2" borderId="27" xfId="3" applyNumberFormat="1" applyFont="1" applyFill="1" applyBorder="1" applyProtection="1"/>
    <xf numFmtId="1" fontId="4" fillId="2" borderId="28" xfId="3" applyNumberFormat="1" applyFont="1" applyFill="1" applyBorder="1" applyProtection="1"/>
    <xf numFmtId="1" fontId="2" fillId="2" borderId="29" xfId="3" applyNumberFormat="1" applyFont="1" applyFill="1" applyBorder="1" applyProtection="1"/>
    <xf numFmtId="1" fontId="4" fillId="2" borderId="16" xfId="3" applyNumberFormat="1" applyFont="1" applyFill="1" applyBorder="1" applyProtection="1"/>
    <xf numFmtId="1" fontId="4" fillId="2" borderId="17" xfId="3" applyNumberFormat="1" applyFont="1" applyFill="1" applyBorder="1" applyProtection="1"/>
    <xf numFmtId="1" fontId="2" fillId="2" borderId="15" xfId="3" applyNumberFormat="1" applyFont="1" applyFill="1" applyBorder="1" applyProtection="1"/>
    <xf numFmtId="1" fontId="4" fillId="3" borderId="16" xfId="4" applyNumberFormat="1" applyFont="1" applyFill="1" applyBorder="1" applyProtection="1">
      <protection locked="0"/>
    </xf>
    <xf numFmtId="1" fontId="11" fillId="3" borderId="15" xfId="3" applyNumberFormat="1" applyFont="1" applyFill="1" applyBorder="1" applyAlignment="1" applyProtection="1">
      <alignment horizontal="right"/>
    </xf>
    <xf numFmtId="2" fontId="5" fillId="4" borderId="27" xfId="3" applyNumberFormat="1" applyFont="1" applyFill="1" applyBorder="1" applyProtection="1">
      <protection locked="0"/>
    </xf>
    <xf numFmtId="2" fontId="5" fillId="4" borderId="28" xfId="3" applyNumberFormat="1" applyFont="1" applyFill="1" applyBorder="1" applyProtection="1">
      <protection locked="0"/>
    </xf>
    <xf numFmtId="2" fontId="5" fillId="4" borderId="29" xfId="3" applyNumberFormat="1" applyFont="1" applyFill="1" applyBorder="1" applyAlignment="1" applyProtection="1">
      <alignment horizontal="right"/>
      <protection locked="0"/>
    </xf>
    <xf numFmtId="1" fontId="2" fillId="2" borderId="16" xfId="3" applyNumberFormat="1" applyFont="1" applyFill="1" applyBorder="1" applyProtection="1"/>
    <xf numFmtId="1" fontId="2" fillId="2" borderId="17" xfId="3" applyNumberFormat="1" applyFont="1" applyFill="1" applyBorder="1" applyProtection="1"/>
    <xf numFmtId="0" fontId="18" fillId="0" borderId="43" xfId="0" applyFont="1" applyBorder="1" applyAlignment="1"/>
    <xf numFmtId="0" fontId="0" fillId="0" borderId="45" xfId="0" applyBorder="1"/>
    <xf numFmtId="3" fontId="0" fillId="0" borderId="45" xfId="0" applyNumberFormat="1" applyBorder="1"/>
    <xf numFmtId="0" fontId="0" fillId="0" borderId="46" xfId="0" applyBorder="1"/>
    <xf numFmtId="3" fontId="0" fillId="0" borderId="42" xfId="0" applyNumberFormat="1" applyBorder="1"/>
    <xf numFmtId="0" fontId="0" fillId="0" borderId="47" xfId="0" applyBorder="1"/>
    <xf numFmtId="3" fontId="17" fillId="0" borderId="48" xfId="0" applyNumberFormat="1" applyFont="1" applyBorder="1"/>
    <xf numFmtId="3" fontId="17" fillId="0" borderId="49" xfId="0" applyNumberFormat="1" applyFont="1" applyBorder="1"/>
    <xf numFmtId="3" fontId="0" fillId="8" borderId="1" xfId="0" applyNumberFormat="1" applyFill="1" applyBorder="1"/>
    <xf numFmtId="3" fontId="0" fillId="8" borderId="14" xfId="0" applyNumberFormat="1" applyFill="1" applyBorder="1"/>
    <xf numFmtId="3" fontId="17" fillId="8" borderId="31" xfId="0" applyNumberFormat="1" applyFont="1" applyFill="1" applyBorder="1"/>
    <xf numFmtId="1" fontId="4" fillId="2" borderId="5" xfId="0" applyNumberFormat="1" applyFont="1" applyFill="1" applyBorder="1" applyProtection="1"/>
    <xf numFmtId="1" fontId="4" fillId="2" borderId="29" xfId="0" applyNumberFormat="1" applyFont="1" applyFill="1" applyBorder="1" applyProtection="1"/>
    <xf numFmtId="1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0" xfId="0" applyBorder="1"/>
    <xf numFmtId="3" fontId="0" fillId="7" borderId="21" xfId="0" applyNumberFormat="1" applyFill="1" applyBorder="1"/>
    <xf numFmtId="3" fontId="0" fillId="7" borderId="45" xfId="0" applyNumberFormat="1" applyFill="1" applyBorder="1"/>
    <xf numFmtId="3" fontId="0" fillId="7" borderId="51" xfId="0" applyNumberFormat="1" applyFill="1" applyBorder="1"/>
    <xf numFmtId="0" fontId="0" fillId="0" borderId="42" xfId="0" applyBorder="1"/>
    <xf numFmtId="3" fontId="0" fillId="7" borderId="31" xfId="0" applyNumberFormat="1" applyFill="1" applyBorder="1"/>
    <xf numFmtId="9" fontId="17" fillId="7" borderId="31" xfId="0" applyNumberFormat="1" applyFont="1" applyFill="1" applyBorder="1"/>
    <xf numFmtId="9" fontId="0" fillId="7" borderId="1" xfId="0" applyNumberFormat="1" applyFill="1" applyBorder="1"/>
    <xf numFmtId="9" fontId="0" fillId="7" borderId="14" xfId="0" applyNumberFormat="1" applyFill="1" applyBorder="1"/>
    <xf numFmtId="9" fontId="0" fillId="8" borderId="1" xfId="0" applyNumberFormat="1" applyFill="1" applyBorder="1"/>
    <xf numFmtId="9" fontId="0" fillId="7" borderId="52" xfId="0" applyNumberFormat="1" applyFill="1" applyBorder="1"/>
    <xf numFmtId="9" fontId="0" fillId="7" borderId="38" xfId="0" applyNumberFormat="1" applyFill="1" applyBorder="1"/>
    <xf numFmtId="9" fontId="0" fillId="7" borderId="44" xfId="0" applyNumberFormat="1" applyFill="1" applyBorder="1"/>
    <xf numFmtId="9" fontId="0" fillId="7" borderId="42" xfId="0" applyNumberFormat="1" applyFill="1" applyBorder="1"/>
    <xf numFmtId="9" fontId="0" fillId="7" borderId="31" xfId="0" applyNumberFormat="1" applyFill="1" applyBorder="1"/>
    <xf numFmtId="9" fontId="0" fillId="7" borderId="53" xfId="0" applyNumberFormat="1" applyFill="1" applyBorder="1"/>
    <xf numFmtId="9" fontId="0" fillId="7" borderId="21" xfId="0" applyNumberFormat="1" applyFill="1" applyBorder="1"/>
    <xf numFmtId="0" fontId="0" fillId="0" borderId="52" xfId="0" applyBorder="1"/>
    <xf numFmtId="9" fontId="0" fillId="7" borderId="54" xfId="0" applyNumberFormat="1" applyFill="1" applyBorder="1"/>
    <xf numFmtId="9" fontId="0" fillId="7" borderId="17" xfId="0" applyNumberFormat="1" applyFill="1" applyBorder="1"/>
    <xf numFmtId="3" fontId="0" fillId="7" borderId="11" xfId="0" applyNumberFormat="1" applyFill="1" applyBorder="1"/>
    <xf numFmtId="3" fontId="0" fillId="7" borderId="4" xfId="0" applyNumberFormat="1" applyFill="1" applyBorder="1"/>
    <xf numFmtId="3" fontId="22" fillId="7" borderId="21" xfId="0" applyNumberFormat="1" applyFont="1" applyFill="1" applyBorder="1"/>
    <xf numFmtId="0" fontId="1" fillId="0" borderId="0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/>
    </xf>
    <xf numFmtId="0" fontId="3" fillId="2" borderId="29" xfId="0" applyFont="1" applyFill="1" applyBorder="1" applyAlignment="1" applyProtection="1">
      <alignment horizontal="center"/>
    </xf>
    <xf numFmtId="0" fontId="2" fillId="2" borderId="15" xfId="0" applyFont="1" applyFill="1" applyBorder="1" applyAlignment="1" applyProtection="1">
      <alignment horizontal="right"/>
    </xf>
    <xf numFmtId="0" fontId="2" fillId="2" borderId="29" xfId="0" applyFont="1" applyFill="1" applyBorder="1" applyAlignment="1" applyProtection="1">
      <alignment horizontal="right"/>
    </xf>
    <xf numFmtId="0" fontId="20" fillId="0" borderId="18" xfId="3" applyBorder="1"/>
    <xf numFmtId="0" fontId="20" fillId="0" borderId="20" xfId="3" applyBorder="1"/>
    <xf numFmtId="0" fontId="20" fillId="0" borderId="19" xfId="3" applyBorder="1"/>
    <xf numFmtId="0" fontId="20" fillId="0" borderId="55" xfId="3" applyBorder="1"/>
    <xf numFmtId="0" fontId="20" fillId="0" borderId="0" xfId="3" applyBorder="1"/>
    <xf numFmtId="0" fontId="20" fillId="0" borderId="56" xfId="3" applyBorder="1"/>
    <xf numFmtId="0" fontId="20" fillId="0" borderId="57" xfId="3" applyBorder="1"/>
    <xf numFmtId="0" fontId="20" fillId="0" borderId="43" xfId="3" applyBorder="1"/>
    <xf numFmtId="0" fontId="20" fillId="0" borderId="58" xfId="3" applyBorder="1"/>
    <xf numFmtId="1" fontId="20" fillId="0" borderId="56" xfId="3" applyNumberFormat="1" applyBorder="1"/>
    <xf numFmtId="3" fontId="0" fillId="8" borderId="45" xfId="0" applyNumberFormat="1" applyFill="1" applyBorder="1"/>
    <xf numFmtId="3" fontId="0" fillId="8" borderId="46" xfId="0" applyNumberFormat="1" applyFill="1" applyBorder="1"/>
    <xf numFmtId="3" fontId="23" fillId="8" borderId="47" xfId="0" applyNumberFormat="1" applyFont="1" applyFill="1" applyBorder="1"/>
    <xf numFmtId="3" fontId="0" fillId="8" borderId="47" xfId="0" applyNumberFormat="1" applyFont="1" applyFill="1" applyBorder="1"/>
    <xf numFmtId="0" fontId="2" fillId="0" borderId="35" xfId="0" applyFont="1" applyFill="1" applyBorder="1" applyAlignment="1" applyProtection="1">
      <alignment horizontal="center"/>
      <protection locked="0"/>
    </xf>
    <xf numFmtId="0" fontId="2" fillId="0" borderId="13" xfId="0" applyFont="1" applyFill="1" applyBorder="1" applyAlignment="1" applyProtection="1">
      <alignment horizontal="center"/>
      <protection locked="0"/>
    </xf>
    <xf numFmtId="0" fontId="2" fillId="0" borderId="12" xfId="0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center" vertical="center"/>
    </xf>
    <xf numFmtId="1" fontId="2" fillId="0" borderId="13" xfId="0" applyNumberFormat="1" applyFont="1" applyFill="1" applyBorder="1" applyAlignment="1" applyProtection="1">
      <alignment horizontal="center"/>
      <protection locked="0"/>
    </xf>
    <xf numFmtId="1" fontId="2" fillId="0" borderId="12" xfId="0" applyNumberFormat="1" applyFont="1" applyFill="1" applyBorder="1" applyAlignment="1" applyProtection="1">
      <alignment horizontal="center"/>
      <protection locked="0"/>
    </xf>
    <xf numFmtId="1" fontId="4" fillId="2" borderId="32" xfId="0" applyNumberFormat="1" applyFont="1" applyFill="1" applyBorder="1" applyAlignment="1" applyProtection="1">
      <alignment horizontal="center"/>
    </xf>
    <xf numFmtId="1" fontId="4" fillId="2" borderId="36" xfId="0" applyNumberFormat="1" applyFont="1" applyFill="1" applyBorder="1" applyAlignment="1" applyProtection="1">
      <alignment horizontal="center"/>
    </xf>
    <xf numFmtId="1" fontId="4" fillId="2" borderId="33" xfId="0" applyNumberFormat="1" applyFont="1" applyFill="1" applyBorder="1" applyAlignment="1" applyProtection="1">
      <alignment horizontal="center"/>
    </xf>
    <xf numFmtId="1" fontId="2" fillId="2" borderId="34" xfId="0" applyNumberFormat="1" applyFont="1" applyFill="1" applyBorder="1" applyAlignment="1" applyProtection="1">
      <alignment horizontal="center"/>
    </xf>
    <xf numFmtId="1" fontId="2" fillId="2" borderId="30" xfId="0" applyNumberFormat="1" applyFont="1" applyFill="1" applyBorder="1" applyAlignment="1" applyProtection="1">
      <alignment horizontal="center"/>
    </xf>
    <xf numFmtId="1" fontId="2" fillId="2" borderId="26" xfId="0" applyNumberFormat="1" applyFont="1" applyFill="1" applyBorder="1" applyAlignment="1" applyProtection="1">
      <alignment horizontal="center"/>
    </xf>
    <xf numFmtId="14" fontId="5" fillId="0" borderId="0" xfId="0" applyNumberFormat="1" applyFont="1" applyFill="1" applyBorder="1" applyAlignment="1" applyProtection="1">
      <alignment horizontal="left"/>
      <protection locked="0"/>
    </xf>
    <xf numFmtId="1" fontId="4" fillId="0" borderId="32" xfId="0" applyNumberFormat="1" applyFont="1" applyFill="1" applyBorder="1" applyAlignment="1" applyProtection="1">
      <alignment horizontal="center"/>
      <protection locked="0"/>
    </xf>
    <xf numFmtId="0" fontId="0" fillId="0" borderId="36" xfId="0" applyBorder="1" applyAlignment="1">
      <alignment horizontal="center"/>
    </xf>
    <xf numFmtId="0" fontId="0" fillId="0" borderId="16" xfId="0" applyBorder="1" applyAlignment="1">
      <alignment horizontal="center"/>
    </xf>
    <xf numFmtId="1" fontId="4" fillId="2" borderId="16" xfId="0" applyNumberFormat="1" applyFont="1" applyFill="1" applyBorder="1" applyAlignment="1" applyProtection="1">
      <alignment horizontal="center"/>
    </xf>
    <xf numFmtId="0" fontId="2" fillId="2" borderId="27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right" vertical="center"/>
    </xf>
    <xf numFmtId="0" fontId="2" fillId="2" borderId="27" xfId="0" applyFont="1" applyFill="1" applyBorder="1" applyAlignment="1" applyProtection="1">
      <alignment horizontal="right" vertical="center"/>
    </xf>
    <xf numFmtId="0" fontId="2" fillId="2" borderId="17" xfId="0" applyFont="1" applyFill="1" applyBorder="1" applyAlignment="1" applyProtection="1">
      <alignment horizontal="right" vertical="center"/>
    </xf>
    <xf numFmtId="0" fontId="2" fillId="2" borderId="28" xfId="0" applyFont="1" applyFill="1" applyBorder="1" applyAlignment="1" applyProtection="1">
      <alignment horizontal="right" vertical="center"/>
    </xf>
    <xf numFmtId="0" fontId="2" fillId="2" borderId="15" xfId="0" applyFont="1" applyFill="1" applyBorder="1" applyAlignment="1" applyProtection="1">
      <alignment horizontal="right" vertical="center"/>
    </xf>
    <xf numFmtId="0" fontId="2" fillId="2" borderId="29" xfId="0" applyFont="1" applyFill="1" applyBorder="1" applyAlignment="1" applyProtection="1">
      <alignment horizontal="right" vertical="center"/>
    </xf>
    <xf numFmtId="1" fontId="2" fillId="2" borderId="16" xfId="0" applyNumberFormat="1" applyFont="1" applyFill="1" applyBorder="1" applyAlignment="1" applyProtection="1">
      <alignment horizontal="right" vertical="center"/>
    </xf>
    <xf numFmtId="1" fontId="2" fillId="2" borderId="27" xfId="0" applyNumberFormat="1" applyFont="1" applyFill="1" applyBorder="1" applyAlignment="1" applyProtection="1">
      <alignment horizontal="right" vertical="center"/>
    </xf>
    <xf numFmtId="1" fontId="2" fillId="2" borderId="17" xfId="0" applyNumberFormat="1" applyFont="1" applyFill="1" applyBorder="1" applyAlignment="1" applyProtection="1">
      <alignment horizontal="right" vertical="center"/>
    </xf>
    <xf numFmtId="1" fontId="2" fillId="2" borderId="28" xfId="0" applyNumberFormat="1" applyFont="1" applyFill="1" applyBorder="1" applyAlignment="1" applyProtection="1">
      <alignment horizontal="right" vertical="center"/>
    </xf>
    <xf numFmtId="1" fontId="2" fillId="2" borderId="15" xfId="0" applyNumberFormat="1" applyFont="1" applyFill="1" applyBorder="1" applyAlignment="1" applyProtection="1">
      <alignment horizontal="right" vertical="center"/>
    </xf>
    <xf numFmtId="1" fontId="2" fillId="2" borderId="29" xfId="0" applyNumberFormat="1" applyFont="1" applyFill="1" applyBorder="1" applyAlignment="1" applyProtection="1">
      <alignment horizontal="right" vertical="center"/>
    </xf>
    <xf numFmtId="0" fontId="2" fillId="2" borderId="14" xfId="0" applyFont="1" applyFill="1" applyBorder="1" applyAlignment="1" applyProtection="1">
      <alignment horizontal="center"/>
    </xf>
    <xf numFmtId="0" fontId="2" fillId="2" borderId="31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3" fillId="2" borderId="29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right"/>
    </xf>
    <xf numFmtId="0" fontId="2" fillId="2" borderId="27" xfId="0" applyFont="1" applyFill="1" applyBorder="1" applyAlignment="1" applyProtection="1">
      <alignment horizontal="right"/>
    </xf>
    <xf numFmtId="0" fontId="2" fillId="2" borderId="17" xfId="0" applyFont="1" applyFill="1" applyBorder="1" applyAlignment="1" applyProtection="1">
      <alignment horizontal="right"/>
    </xf>
    <xf numFmtId="0" fontId="2" fillId="2" borderId="28" xfId="0" applyFont="1" applyFill="1" applyBorder="1" applyAlignment="1" applyProtection="1">
      <alignment horizontal="right"/>
    </xf>
    <xf numFmtId="0" fontId="2" fillId="2" borderId="15" xfId="0" applyFont="1" applyFill="1" applyBorder="1" applyAlignment="1" applyProtection="1">
      <alignment horizontal="right"/>
    </xf>
    <xf numFmtId="0" fontId="2" fillId="2" borderId="29" xfId="0" applyFont="1" applyFill="1" applyBorder="1" applyAlignment="1" applyProtection="1">
      <alignment horizontal="right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9" xfId="0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Alignment="1" applyProtection="1">
      <alignment horizontal="left" wrapText="1"/>
    </xf>
    <xf numFmtId="0" fontId="5" fillId="0" borderId="26" xfId="0" applyFont="1" applyFill="1" applyBorder="1" applyAlignment="1" applyProtection="1">
      <alignment horizontal="left" wrapText="1"/>
    </xf>
    <xf numFmtId="0" fontId="2" fillId="2" borderId="6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1" fontId="2" fillId="2" borderId="8" xfId="0" applyNumberFormat="1" applyFont="1" applyFill="1" applyBorder="1" applyAlignment="1" applyProtection="1">
      <alignment horizontal="right" vertical="center"/>
    </xf>
    <xf numFmtId="1" fontId="2" fillId="2" borderId="9" xfId="0" applyNumberFormat="1" applyFont="1" applyFill="1" applyBorder="1" applyAlignment="1" applyProtection="1">
      <alignment horizontal="right" vertical="center"/>
    </xf>
    <xf numFmtId="1" fontId="2" fillId="2" borderId="1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16" fillId="0" borderId="1" xfId="0" applyFont="1" applyBorder="1" applyAlignment="1"/>
    <xf numFmtId="0" fontId="16" fillId="0" borderId="4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3" fontId="17" fillId="0" borderId="0" xfId="0" applyNumberFormat="1" applyFont="1" applyAlignment="1"/>
    <xf numFmtId="0" fontId="17" fillId="0" borderId="0" xfId="0" applyFont="1" applyAlignment="1"/>
    <xf numFmtId="0" fontId="18" fillId="0" borderId="43" xfId="0" applyFont="1" applyBorder="1" applyAlignment="1"/>
    <xf numFmtId="0" fontId="18" fillId="0" borderId="0" xfId="0" applyFont="1" applyAlignme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2" borderId="32" xfId="0" applyFont="1" applyFill="1" applyBorder="1" applyAlignment="1" applyProtection="1">
      <alignment horizontal="center"/>
    </xf>
    <xf numFmtId="0" fontId="4" fillId="2" borderId="36" xfId="0" applyFont="1" applyFill="1" applyBorder="1" applyAlignment="1" applyProtection="1">
      <alignment horizontal="center"/>
    </xf>
    <xf numFmtId="0" fontId="4" fillId="2" borderId="33" xfId="0" applyFont="1" applyFill="1" applyBorder="1" applyAlignment="1" applyProtection="1">
      <alignment horizontal="center"/>
    </xf>
    <xf numFmtId="0" fontId="2" fillId="2" borderId="34" xfId="0" applyFont="1" applyFill="1" applyBorder="1" applyAlignment="1" applyProtection="1">
      <alignment horizontal="center"/>
    </xf>
    <xf numFmtId="0" fontId="2" fillId="2" borderId="30" xfId="0" applyFont="1" applyFill="1" applyBorder="1" applyAlignment="1" applyProtection="1">
      <alignment horizontal="center"/>
    </xf>
    <xf numFmtId="0" fontId="2" fillId="2" borderId="26" xfId="0" applyFont="1" applyFill="1" applyBorder="1" applyAlignment="1" applyProtection="1">
      <alignment horizontal="center"/>
    </xf>
    <xf numFmtId="14" fontId="5" fillId="0" borderId="0" xfId="0" applyNumberFormat="1" applyFont="1" applyFill="1" applyBorder="1" applyAlignment="1" applyProtection="1">
      <alignment horizontal="center"/>
      <protection locked="0"/>
    </xf>
    <xf numFmtId="0" fontId="4" fillId="0" borderId="32" xfId="0" applyFont="1" applyFill="1" applyBorder="1" applyAlignment="1" applyProtection="1">
      <alignment horizontal="center"/>
      <protection locked="0"/>
    </xf>
    <xf numFmtId="0" fontId="4" fillId="0" borderId="36" xfId="0" applyFont="1" applyFill="1" applyBorder="1" applyAlignment="1" applyProtection="1">
      <alignment horizontal="center"/>
      <protection locked="0"/>
    </xf>
    <xf numFmtId="0" fontId="4" fillId="0" borderId="33" xfId="0" applyFont="1" applyFill="1" applyBorder="1" applyAlignment="1" applyProtection="1">
      <alignment horizontal="center"/>
      <protection locked="0"/>
    </xf>
    <xf numFmtId="0" fontId="4" fillId="0" borderId="16" xfId="0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right" vertical="center"/>
    </xf>
    <xf numFmtId="0" fontId="2" fillId="2" borderId="9" xfId="0" applyFont="1" applyFill="1" applyBorder="1" applyAlignment="1" applyProtection="1">
      <alignment horizontal="right" vertical="center"/>
    </xf>
    <xf numFmtId="0" fontId="2" fillId="2" borderId="1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35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2" fillId="2" borderId="39" xfId="0" applyFont="1" applyFill="1" applyBorder="1" applyAlignment="1" applyProtection="1">
      <alignment horizontal="center" vertical="center"/>
    </xf>
    <xf numFmtId="0" fontId="3" fillId="2" borderId="37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right" vertical="center"/>
    </xf>
    <xf numFmtId="0" fontId="2" fillId="2" borderId="39" xfId="0" applyFont="1" applyFill="1" applyBorder="1" applyAlignment="1" applyProtection="1">
      <alignment horizontal="right" vertical="center"/>
    </xf>
    <xf numFmtId="0" fontId="2" fillId="2" borderId="40" xfId="0" applyFont="1" applyFill="1" applyBorder="1" applyAlignment="1" applyProtection="1">
      <alignment horizontal="right" vertical="center"/>
    </xf>
    <xf numFmtId="0" fontId="2" fillId="2" borderId="37" xfId="0" applyFont="1" applyFill="1" applyBorder="1" applyAlignment="1" applyProtection="1">
      <alignment horizontal="right" vertical="center"/>
    </xf>
    <xf numFmtId="0" fontId="2" fillId="2" borderId="6" xfId="0" applyFont="1" applyFill="1" applyBorder="1" applyAlignment="1" applyProtection="1">
      <alignment horizontal="center"/>
    </xf>
    <xf numFmtId="0" fontId="2" fillId="2" borderId="3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/>
    </xf>
    <xf numFmtId="0" fontId="3" fillId="2" borderId="37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right"/>
    </xf>
    <xf numFmtId="0" fontId="2" fillId="2" borderId="39" xfId="0" applyFont="1" applyFill="1" applyBorder="1" applyAlignment="1" applyProtection="1">
      <alignment horizontal="right"/>
    </xf>
    <xf numFmtId="0" fontId="2" fillId="2" borderId="9" xfId="0" applyFont="1" applyFill="1" applyBorder="1" applyAlignment="1" applyProtection="1">
      <alignment horizontal="right"/>
    </xf>
    <xf numFmtId="0" fontId="2" fillId="2" borderId="40" xfId="0" applyFont="1" applyFill="1" applyBorder="1" applyAlignment="1" applyProtection="1">
      <alignment horizontal="right"/>
    </xf>
    <xf numFmtId="0" fontId="2" fillId="2" borderId="10" xfId="0" applyFont="1" applyFill="1" applyBorder="1" applyAlignment="1" applyProtection="1">
      <alignment horizontal="right"/>
    </xf>
    <xf numFmtId="0" fontId="2" fillId="2" borderId="37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2" fillId="0" borderId="38" xfId="0" applyFont="1" applyFill="1" applyBorder="1" applyAlignment="1" applyProtection="1">
      <alignment vertical="center"/>
      <protection locked="0"/>
    </xf>
    <xf numFmtId="0" fontId="2" fillId="0" borderId="39" xfId="0" applyFont="1" applyFill="1" applyBorder="1" applyAlignment="1" applyProtection="1">
      <alignment vertical="center"/>
      <protection locked="0"/>
    </xf>
    <xf numFmtId="0" fontId="3" fillId="0" borderId="37" xfId="0" applyFont="1" applyFill="1" applyBorder="1" applyAlignment="1" applyProtection="1">
      <alignment horizontal="center" vertical="center" shrinkToFit="1"/>
      <protection locked="0"/>
    </xf>
    <xf numFmtId="0" fontId="3" fillId="0" borderId="38" xfId="0" applyFont="1" applyFill="1" applyBorder="1" applyAlignment="1" applyProtection="1">
      <alignment horizontal="center" vertical="center" wrapText="1"/>
      <protection locked="0"/>
    </xf>
    <xf numFmtId="0" fontId="3" fillId="0" borderId="39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7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0" fontId="2" fillId="0" borderId="13" xfId="3" applyFont="1" applyFill="1" applyBorder="1" applyAlignment="1" applyProtection="1">
      <alignment horizontal="center"/>
      <protection locked="0"/>
    </xf>
    <xf numFmtId="0" fontId="2" fillId="0" borderId="12" xfId="3" applyFont="1" applyFill="1" applyBorder="1" applyAlignment="1" applyProtection="1">
      <alignment horizontal="center"/>
      <protection locked="0"/>
    </xf>
    <xf numFmtId="3" fontId="0" fillId="7" borderId="38" xfId="0" applyNumberFormat="1" applyFill="1" applyBorder="1"/>
    <xf numFmtId="9" fontId="0" fillId="7" borderId="39" xfId="0" applyNumberFormat="1" applyFill="1" applyBorder="1"/>
    <xf numFmtId="3" fontId="0" fillId="7" borderId="52" xfId="0" applyNumberFormat="1" applyFill="1" applyBorder="1"/>
    <xf numFmtId="3" fontId="0" fillId="7" borderId="47" xfId="0" applyNumberFormat="1" applyFill="1" applyBorder="1"/>
  </cellXfs>
  <cellStyles count="5">
    <cellStyle name="měny_e Dotaz" xfId="1"/>
    <cellStyle name="Normálna 2" xfId="3"/>
    <cellStyle name="Normálne" xfId="0" builtinId="0"/>
    <cellStyle name="normálne_Hárok1" xfId="4"/>
    <cellStyle name="normální_e Dotaz" xfId="2"/>
  </cellStyles>
  <dxfs count="20"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Ťažba </a:t>
            </a:r>
            <a:r>
              <a:rPr lang="sk-SK"/>
              <a:t>ihl.</a:t>
            </a:r>
            <a:r>
              <a:rPr lang="sk-SK" baseline="0"/>
              <a:t> + list.</a:t>
            </a:r>
            <a:r>
              <a:rPr lang="en-US"/>
              <a:t> </a:t>
            </a:r>
            <a:r>
              <a:rPr lang="sk-SK"/>
              <a:t>bez samovýroby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 OZ'!$B$3</c:f>
              <c:strCache>
                <c:ptCount val="1"/>
                <c:pt idx="0">
                  <c:v>plán spolu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OZ'!$A$4:$A$15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'graf OZ'!$B$4:$B$15</c:f>
              <c:numCache>
                <c:formatCode>0</c:formatCode>
                <c:ptCount val="12"/>
                <c:pt idx="0">
                  <c:v>13370</c:v>
                </c:pt>
                <c:pt idx="1">
                  <c:v>26740</c:v>
                </c:pt>
                <c:pt idx="2">
                  <c:v>40111</c:v>
                </c:pt>
                <c:pt idx="3">
                  <c:v>51582</c:v>
                </c:pt>
                <c:pt idx="4">
                  <c:v>63053</c:v>
                </c:pt>
                <c:pt idx="5">
                  <c:v>74524</c:v>
                </c:pt>
                <c:pt idx="6">
                  <c:v>85295</c:v>
                </c:pt>
                <c:pt idx="7">
                  <c:v>96066</c:v>
                </c:pt>
                <c:pt idx="8">
                  <c:v>106839</c:v>
                </c:pt>
                <c:pt idx="9">
                  <c:v>118989</c:v>
                </c:pt>
                <c:pt idx="10">
                  <c:v>131139</c:v>
                </c:pt>
                <c:pt idx="11">
                  <c:v>143290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OZ'!$C$3</c:f>
              <c:strCache>
                <c:ptCount val="1"/>
                <c:pt idx="0">
                  <c:v>skut spolu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 OZ'!$A$4:$A$15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'graf OZ'!$C$4:$C$15</c:f>
              <c:numCache>
                <c:formatCode>#,##0</c:formatCode>
                <c:ptCount val="12"/>
                <c:pt idx="0">
                  <c:v>11626</c:v>
                </c:pt>
                <c:pt idx="1">
                  <c:v>25719</c:v>
                </c:pt>
                <c:pt idx="2">
                  <c:v>42041</c:v>
                </c:pt>
                <c:pt idx="3">
                  <c:v>56500</c:v>
                </c:pt>
                <c:pt idx="4">
                  <c:v>68233</c:v>
                </c:pt>
                <c:pt idx="5">
                  <c:v>81909</c:v>
                </c:pt>
                <c:pt idx="6">
                  <c:v>94683</c:v>
                </c:pt>
                <c:pt idx="7">
                  <c:v>109645</c:v>
                </c:pt>
                <c:pt idx="8">
                  <c:v>126581</c:v>
                </c:pt>
                <c:pt idx="9">
                  <c:v>143094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469672"/>
        <c:axId val="319607512"/>
      </c:lineChart>
      <c:catAx>
        <c:axId val="318469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19607512"/>
        <c:crosses val="autoZero"/>
        <c:auto val="1"/>
        <c:lblAlgn val="ctr"/>
        <c:lblOffset val="100"/>
        <c:noMultiLvlLbl val="0"/>
      </c:catAx>
      <c:valAx>
        <c:axId val="319607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18469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Ťažba ihl. </a:t>
            </a:r>
            <a:r>
              <a:rPr lang="sk-SK"/>
              <a:t>bez samovýroby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 OZ'!$B$23</c:f>
              <c:strCache>
                <c:ptCount val="1"/>
                <c:pt idx="0">
                  <c:v>plán ihl.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'graf OZ'!$A$24:$A$35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'graf OZ'!$B$24:$B$35</c:f>
              <c:numCache>
                <c:formatCode>0</c:formatCode>
                <c:ptCount val="12"/>
                <c:pt idx="0">
                  <c:v>6655</c:v>
                </c:pt>
                <c:pt idx="1">
                  <c:v>13310</c:v>
                </c:pt>
                <c:pt idx="2">
                  <c:v>19965</c:v>
                </c:pt>
                <c:pt idx="3">
                  <c:v>25648</c:v>
                </c:pt>
                <c:pt idx="4">
                  <c:v>31331</c:v>
                </c:pt>
                <c:pt idx="5">
                  <c:v>37015</c:v>
                </c:pt>
                <c:pt idx="6">
                  <c:v>41601</c:v>
                </c:pt>
                <c:pt idx="7">
                  <c:v>46188</c:v>
                </c:pt>
                <c:pt idx="8">
                  <c:v>50775</c:v>
                </c:pt>
                <c:pt idx="9">
                  <c:v>56133</c:v>
                </c:pt>
                <c:pt idx="10">
                  <c:v>61491</c:v>
                </c:pt>
                <c:pt idx="11">
                  <c:v>66849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OZ'!$C$23</c:f>
              <c:strCache>
                <c:ptCount val="1"/>
                <c:pt idx="0">
                  <c:v>skut ihl.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'graf OZ'!$A$24:$A$35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'graf OZ'!$C$24:$C$35</c:f>
              <c:numCache>
                <c:formatCode>#,##0</c:formatCode>
                <c:ptCount val="12"/>
                <c:pt idx="0">
                  <c:v>7086</c:v>
                </c:pt>
                <c:pt idx="1">
                  <c:v>12776</c:v>
                </c:pt>
                <c:pt idx="2">
                  <c:v>19823</c:v>
                </c:pt>
                <c:pt idx="3">
                  <c:v>26468</c:v>
                </c:pt>
                <c:pt idx="4">
                  <c:v>33372</c:v>
                </c:pt>
                <c:pt idx="5">
                  <c:v>42888</c:v>
                </c:pt>
                <c:pt idx="6">
                  <c:v>51754</c:v>
                </c:pt>
                <c:pt idx="7">
                  <c:v>60550</c:v>
                </c:pt>
                <c:pt idx="8">
                  <c:v>69874</c:v>
                </c:pt>
                <c:pt idx="9">
                  <c:v>78593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129304"/>
        <c:axId val="319128128"/>
      </c:lineChart>
      <c:catAx>
        <c:axId val="319129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19128128"/>
        <c:crosses val="autoZero"/>
        <c:auto val="1"/>
        <c:lblAlgn val="ctr"/>
        <c:lblOffset val="100"/>
        <c:noMultiLvlLbl val="0"/>
      </c:catAx>
      <c:valAx>
        <c:axId val="31912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19129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Ťažba list. </a:t>
            </a:r>
            <a:r>
              <a:rPr lang="sk-SK"/>
              <a:t>bez samovýroby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 OZ'!$B$43</c:f>
              <c:strCache>
                <c:ptCount val="1"/>
                <c:pt idx="0">
                  <c:v>plán list.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 OZ'!$A$44:$A$55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'graf OZ'!$B$44:$B$55</c:f>
              <c:numCache>
                <c:formatCode>0</c:formatCode>
                <c:ptCount val="12"/>
                <c:pt idx="0">
                  <c:v>6715</c:v>
                </c:pt>
                <c:pt idx="1">
                  <c:v>13431</c:v>
                </c:pt>
                <c:pt idx="2">
                  <c:v>20146</c:v>
                </c:pt>
                <c:pt idx="3">
                  <c:v>25934</c:v>
                </c:pt>
                <c:pt idx="4">
                  <c:v>31721</c:v>
                </c:pt>
                <c:pt idx="5">
                  <c:v>37509</c:v>
                </c:pt>
                <c:pt idx="6">
                  <c:v>43694</c:v>
                </c:pt>
                <c:pt idx="7">
                  <c:v>49481</c:v>
                </c:pt>
                <c:pt idx="8">
                  <c:v>56064</c:v>
                </c:pt>
                <c:pt idx="9">
                  <c:v>62856</c:v>
                </c:pt>
                <c:pt idx="10">
                  <c:v>69648</c:v>
                </c:pt>
                <c:pt idx="11">
                  <c:v>76441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OZ'!$C$43</c:f>
              <c:strCache>
                <c:ptCount val="1"/>
                <c:pt idx="0">
                  <c:v>skut list.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'graf OZ'!$A$44:$A$55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'graf OZ'!$C$44:$C$55</c:f>
              <c:numCache>
                <c:formatCode>#,##0</c:formatCode>
                <c:ptCount val="12"/>
                <c:pt idx="0">
                  <c:v>4540</c:v>
                </c:pt>
                <c:pt idx="1">
                  <c:v>12943</c:v>
                </c:pt>
                <c:pt idx="2">
                  <c:v>22218</c:v>
                </c:pt>
                <c:pt idx="3">
                  <c:v>30032</c:v>
                </c:pt>
                <c:pt idx="4">
                  <c:v>33372</c:v>
                </c:pt>
                <c:pt idx="5">
                  <c:v>39021</c:v>
                </c:pt>
                <c:pt idx="6">
                  <c:v>42929</c:v>
                </c:pt>
                <c:pt idx="7">
                  <c:v>49095</c:v>
                </c:pt>
                <c:pt idx="8">
                  <c:v>56707</c:v>
                </c:pt>
                <c:pt idx="9">
                  <c:v>64501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126560"/>
        <c:axId val="319125776"/>
      </c:lineChart>
      <c:catAx>
        <c:axId val="31912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19125776"/>
        <c:crosses val="autoZero"/>
        <c:auto val="1"/>
        <c:lblAlgn val="ctr"/>
        <c:lblOffset val="100"/>
        <c:noMultiLvlLbl val="0"/>
      </c:catAx>
      <c:valAx>
        <c:axId val="31912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19126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396240</xdr:colOff>
      <xdr:row>20</xdr:row>
      <xdr:rowOff>103822</xdr:rowOff>
    </xdr:from>
    <xdr:to>
      <xdr:col>16</xdr:col>
      <xdr:colOff>91440</xdr:colOff>
      <xdr:row>37</xdr:row>
      <xdr:rowOff>88582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443865</xdr:colOff>
      <xdr:row>1</xdr:row>
      <xdr:rowOff>82867</xdr:rowOff>
    </xdr:from>
    <xdr:to>
      <xdr:col>12</xdr:col>
      <xdr:colOff>139065</xdr:colOff>
      <xdr:row>18</xdr:row>
      <xdr:rowOff>73342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236220</xdr:colOff>
      <xdr:row>1</xdr:row>
      <xdr:rowOff>58102</xdr:rowOff>
    </xdr:from>
    <xdr:to>
      <xdr:col>20</xdr:col>
      <xdr:colOff>541020</xdr:colOff>
      <xdr:row>18</xdr:row>
      <xdr:rowOff>42862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raj.piecka\AppData\Local\Microsoft\Windows\Temporary%20Internet%20Files\Content.Outlook\M1HH495G\VP3%202014%20po%20LS%20real.uraven&#253;%20pl&#225;n%2020.10.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Z"/>
      <sheetName val="Šaštín"/>
      <sheetName val="Holíč"/>
      <sheetName val="Mor. Ján"/>
      <sheetName val="Lozorno"/>
      <sheetName val="Sološnica"/>
      <sheetName val="Benuš"/>
    </sheetNames>
    <sheetDataSet>
      <sheetData sheetId="0"/>
      <sheetData sheetId="1">
        <row r="5">
          <cell r="W5">
            <v>0</v>
          </cell>
          <cell r="X5">
            <v>0</v>
          </cell>
          <cell r="Y5">
            <v>0</v>
          </cell>
        </row>
        <row r="6">
          <cell r="X6">
            <v>0</v>
          </cell>
          <cell r="Y6">
            <v>0</v>
          </cell>
        </row>
        <row r="10">
          <cell r="W10">
            <v>0</v>
          </cell>
          <cell r="X10">
            <v>0</v>
          </cell>
          <cell r="Y10">
            <v>0</v>
          </cell>
        </row>
        <row r="11">
          <cell r="X11">
            <v>0</v>
          </cell>
          <cell r="Y11">
            <v>0</v>
          </cell>
        </row>
        <row r="13">
          <cell r="X13">
            <v>0</v>
          </cell>
          <cell r="Y13">
            <v>0</v>
          </cell>
        </row>
        <row r="16">
          <cell r="W16">
            <v>0</v>
          </cell>
          <cell r="X16">
            <v>0</v>
          </cell>
          <cell r="Y16">
            <v>0</v>
          </cell>
        </row>
        <row r="17">
          <cell r="X17">
            <v>0</v>
          </cell>
          <cell r="Y17">
            <v>0</v>
          </cell>
        </row>
        <row r="19">
          <cell r="X19">
            <v>0</v>
          </cell>
          <cell r="Y19">
            <v>0</v>
          </cell>
        </row>
        <row r="23">
          <cell r="X23">
            <v>0</v>
          </cell>
          <cell r="Y23">
            <v>0</v>
          </cell>
        </row>
        <row r="24">
          <cell r="X24">
            <v>0</v>
          </cell>
          <cell r="Y24">
            <v>0</v>
          </cell>
        </row>
        <row r="28">
          <cell r="W28">
            <v>0</v>
          </cell>
          <cell r="X28">
            <v>0</v>
          </cell>
          <cell r="Y28">
            <v>0</v>
          </cell>
        </row>
        <row r="29">
          <cell r="W29">
            <v>0</v>
          </cell>
          <cell r="X29">
            <v>0</v>
          </cell>
          <cell r="Y29">
            <v>0</v>
          </cell>
        </row>
        <row r="38">
          <cell r="X38">
            <v>0</v>
          </cell>
          <cell r="Y38">
            <v>0</v>
          </cell>
        </row>
        <row r="39">
          <cell r="X39">
            <v>0</v>
          </cell>
          <cell r="Y39">
            <v>0</v>
          </cell>
        </row>
      </sheetData>
      <sheetData sheetId="2">
        <row r="5">
          <cell r="W5">
            <v>0</v>
          </cell>
          <cell r="X5">
            <v>0</v>
          </cell>
          <cell r="Y5">
            <v>0</v>
          </cell>
        </row>
        <row r="6">
          <cell r="X6">
            <v>0</v>
          </cell>
          <cell r="Y6">
            <v>0</v>
          </cell>
        </row>
        <row r="10">
          <cell r="W10">
            <v>0</v>
          </cell>
          <cell r="X10">
            <v>0</v>
          </cell>
          <cell r="Y10">
            <v>0</v>
          </cell>
        </row>
        <row r="11">
          <cell r="X11">
            <v>0</v>
          </cell>
          <cell r="Y11">
            <v>0</v>
          </cell>
        </row>
        <row r="13">
          <cell r="X13">
            <v>0</v>
          </cell>
          <cell r="Y13">
            <v>0</v>
          </cell>
        </row>
        <row r="16">
          <cell r="W16">
            <v>0</v>
          </cell>
          <cell r="X16">
            <v>0</v>
          </cell>
          <cell r="Y16">
            <v>0</v>
          </cell>
        </row>
        <row r="17">
          <cell r="X17">
            <v>0</v>
          </cell>
          <cell r="Y17">
            <v>0</v>
          </cell>
        </row>
        <row r="19">
          <cell r="X19">
            <v>0</v>
          </cell>
          <cell r="Y19">
            <v>0</v>
          </cell>
        </row>
        <row r="23">
          <cell r="X23">
            <v>0</v>
          </cell>
          <cell r="Y23">
            <v>0</v>
          </cell>
        </row>
        <row r="24">
          <cell r="X24">
            <v>0</v>
          </cell>
          <cell r="Y24">
            <v>0</v>
          </cell>
        </row>
        <row r="28">
          <cell r="W28">
            <v>0</v>
          </cell>
          <cell r="X28">
            <v>0</v>
          </cell>
          <cell r="Y28">
            <v>0</v>
          </cell>
        </row>
        <row r="29">
          <cell r="W29">
            <v>0</v>
          </cell>
          <cell r="X29">
            <v>0</v>
          </cell>
          <cell r="Y29">
            <v>0</v>
          </cell>
        </row>
        <row r="38">
          <cell r="X38">
            <v>0</v>
          </cell>
          <cell r="Y38">
            <v>0</v>
          </cell>
        </row>
        <row r="39">
          <cell r="X39">
            <v>0</v>
          </cell>
          <cell r="Y39">
            <v>0</v>
          </cell>
        </row>
      </sheetData>
      <sheetData sheetId="3">
        <row r="5">
          <cell r="W5">
            <v>0</v>
          </cell>
          <cell r="X5">
            <v>0</v>
          </cell>
          <cell r="Y5">
            <v>0</v>
          </cell>
        </row>
        <row r="6">
          <cell r="X6">
            <v>0</v>
          </cell>
          <cell r="Y6">
            <v>0</v>
          </cell>
        </row>
        <row r="10">
          <cell r="W10">
            <v>0</v>
          </cell>
          <cell r="X10">
            <v>0</v>
          </cell>
          <cell r="Y10">
            <v>0</v>
          </cell>
        </row>
        <row r="11">
          <cell r="X11">
            <v>0</v>
          </cell>
          <cell r="Y11">
            <v>0</v>
          </cell>
        </row>
        <row r="13">
          <cell r="X13">
            <v>0</v>
          </cell>
          <cell r="Y13">
            <v>0</v>
          </cell>
        </row>
        <row r="16">
          <cell r="W16">
            <v>0</v>
          </cell>
          <cell r="X16">
            <v>0</v>
          </cell>
          <cell r="Y16">
            <v>0</v>
          </cell>
        </row>
        <row r="17">
          <cell r="X17">
            <v>0</v>
          </cell>
          <cell r="Y17">
            <v>0</v>
          </cell>
        </row>
        <row r="19">
          <cell r="X19">
            <v>0</v>
          </cell>
          <cell r="Y19">
            <v>0</v>
          </cell>
        </row>
        <row r="23">
          <cell r="X23">
            <v>0</v>
          </cell>
          <cell r="Y23">
            <v>0</v>
          </cell>
        </row>
        <row r="24">
          <cell r="X24">
            <v>0</v>
          </cell>
          <cell r="Y24">
            <v>0</v>
          </cell>
        </row>
        <row r="28">
          <cell r="W28">
            <v>0</v>
          </cell>
          <cell r="X28">
            <v>0</v>
          </cell>
          <cell r="Y28">
            <v>0</v>
          </cell>
        </row>
        <row r="29">
          <cell r="W29">
            <v>0</v>
          </cell>
          <cell r="X29">
            <v>0</v>
          </cell>
          <cell r="Y29">
            <v>0</v>
          </cell>
        </row>
        <row r="38">
          <cell r="X38">
            <v>0</v>
          </cell>
          <cell r="Y38">
            <v>0</v>
          </cell>
        </row>
        <row r="39">
          <cell r="X39">
            <v>0</v>
          </cell>
          <cell r="Y39">
            <v>0</v>
          </cell>
        </row>
      </sheetData>
      <sheetData sheetId="4">
        <row r="5">
          <cell r="W5">
            <v>0</v>
          </cell>
          <cell r="X5">
            <v>0</v>
          </cell>
          <cell r="Y5">
            <v>0</v>
          </cell>
        </row>
        <row r="6">
          <cell r="X6">
            <v>0</v>
          </cell>
          <cell r="Y6">
            <v>0</v>
          </cell>
        </row>
        <row r="10">
          <cell r="W10">
            <v>0</v>
          </cell>
          <cell r="X10">
            <v>0</v>
          </cell>
          <cell r="Y10">
            <v>0</v>
          </cell>
        </row>
        <row r="11">
          <cell r="X11">
            <v>0</v>
          </cell>
          <cell r="Y11">
            <v>0</v>
          </cell>
        </row>
        <row r="13">
          <cell r="X13">
            <v>0</v>
          </cell>
          <cell r="Y13">
            <v>0</v>
          </cell>
        </row>
        <row r="16">
          <cell r="W16">
            <v>0</v>
          </cell>
          <cell r="X16">
            <v>0</v>
          </cell>
          <cell r="Y16">
            <v>0</v>
          </cell>
        </row>
        <row r="17">
          <cell r="X17">
            <v>0</v>
          </cell>
          <cell r="Y17">
            <v>0</v>
          </cell>
        </row>
        <row r="19">
          <cell r="X19">
            <v>0</v>
          </cell>
          <cell r="Y19">
            <v>0</v>
          </cell>
        </row>
        <row r="23">
          <cell r="X23">
            <v>0</v>
          </cell>
          <cell r="Y23">
            <v>0</v>
          </cell>
        </row>
        <row r="24">
          <cell r="X24">
            <v>0</v>
          </cell>
          <cell r="Y24">
            <v>0</v>
          </cell>
        </row>
        <row r="28">
          <cell r="W28">
            <v>0</v>
          </cell>
          <cell r="X28">
            <v>0</v>
          </cell>
          <cell r="Y28">
            <v>0</v>
          </cell>
        </row>
        <row r="29">
          <cell r="W29">
            <v>0</v>
          </cell>
          <cell r="X29">
            <v>0</v>
          </cell>
          <cell r="Y29">
            <v>0</v>
          </cell>
        </row>
        <row r="38">
          <cell r="X38">
            <v>0</v>
          </cell>
          <cell r="Y38">
            <v>0</v>
          </cell>
        </row>
        <row r="39">
          <cell r="X39">
            <v>0</v>
          </cell>
          <cell r="Y39">
            <v>0</v>
          </cell>
        </row>
      </sheetData>
      <sheetData sheetId="5">
        <row r="5">
          <cell r="W5">
            <v>0</v>
          </cell>
          <cell r="X5">
            <v>0</v>
          </cell>
          <cell r="Y5">
            <v>0</v>
          </cell>
        </row>
        <row r="6">
          <cell r="X6">
            <v>0</v>
          </cell>
          <cell r="Y6">
            <v>0</v>
          </cell>
        </row>
        <row r="10">
          <cell r="W10">
            <v>0</v>
          </cell>
          <cell r="X10">
            <v>0</v>
          </cell>
          <cell r="Y10">
            <v>0</v>
          </cell>
        </row>
        <row r="11">
          <cell r="X11">
            <v>0</v>
          </cell>
          <cell r="Y11">
            <v>0</v>
          </cell>
        </row>
        <row r="13">
          <cell r="X13">
            <v>0</v>
          </cell>
          <cell r="Y13">
            <v>0</v>
          </cell>
        </row>
        <row r="16">
          <cell r="W16">
            <v>0</v>
          </cell>
          <cell r="X16">
            <v>0</v>
          </cell>
          <cell r="Y16">
            <v>0</v>
          </cell>
        </row>
        <row r="17">
          <cell r="X17">
            <v>0</v>
          </cell>
          <cell r="Y17">
            <v>0</v>
          </cell>
        </row>
        <row r="19">
          <cell r="X19">
            <v>0</v>
          </cell>
          <cell r="Y19">
            <v>0</v>
          </cell>
        </row>
        <row r="23">
          <cell r="X23">
            <v>0</v>
          </cell>
          <cell r="Y23">
            <v>0</v>
          </cell>
        </row>
        <row r="24">
          <cell r="X24">
            <v>0</v>
          </cell>
          <cell r="Y24">
            <v>0</v>
          </cell>
        </row>
        <row r="28">
          <cell r="W28">
            <v>0</v>
          </cell>
          <cell r="X28">
            <v>0</v>
          </cell>
          <cell r="Y28">
            <v>0</v>
          </cell>
        </row>
        <row r="29">
          <cell r="W29">
            <v>0</v>
          </cell>
          <cell r="X29">
            <v>0</v>
          </cell>
          <cell r="Y29">
            <v>0</v>
          </cell>
        </row>
        <row r="38">
          <cell r="X38">
            <v>0</v>
          </cell>
          <cell r="Y38">
            <v>0</v>
          </cell>
        </row>
        <row r="39">
          <cell r="X39">
            <v>0</v>
          </cell>
          <cell r="Y39">
            <v>0</v>
          </cell>
        </row>
      </sheetData>
      <sheetData sheetId="6">
        <row r="23">
          <cell r="W23">
            <v>0</v>
          </cell>
          <cell r="X23">
            <v>0</v>
          </cell>
          <cell r="Y2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2"/>
  <sheetViews>
    <sheetView topLeftCell="A40" zoomScaleNormal="100" workbookViewId="0">
      <selection activeCell="E78" sqref="E78"/>
    </sheetView>
  </sheetViews>
  <sheetFormatPr defaultRowHeight="12.75" x14ac:dyDescent="0.2"/>
  <cols>
    <col min="1" max="1" width="12.28515625" customWidth="1"/>
    <col min="3" max="6" width="9.28515625" bestFit="1" customWidth="1"/>
    <col min="7" max="7" width="2" customWidth="1"/>
    <col min="9" max="12" width="9.28515625" bestFit="1" customWidth="1"/>
    <col min="14" max="14" width="10.85546875" customWidth="1"/>
    <col min="15" max="17" width="9.28515625" customWidth="1"/>
    <col min="18" max="18" width="11.140625" customWidth="1"/>
    <col min="19" max="26" width="9.28515625" customWidth="1"/>
    <col min="27" max="27" width="7.140625" customWidth="1"/>
  </cols>
  <sheetData>
    <row r="1" spans="1:26" ht="13.5" customHeight="1" thickBot="1" x14ac:dyDescent="0.3">
      <c r="A1" s="1" t="s">
        <v>52</v>
      </c>
      <c r="B1" s="2"/>
      <c r="C1" s="325" t="s">
        <v>99</v>
      </c>
      <c r="D1" s="325"/>
      <c r="E1" s="325"/>
      <c r="F1" s="325"/>
      <c r="G1" s="325"/>
      <c r="H1" s="325"/>
      <c r="I1" s="325"/>
      <c r="J1" s="325"/>
      <c r="K1" s="325"/>
      <c r="L1" s="2" t="s">
        <v>2</v>
      </c>
      <c r="O1" s="336" t="s">
        <v>54</v>
      </c>
      <c r="P1" s="337"/>
      <c r="Q1" s="337"/>
      <c r="R1" s="337"/>
      <c r="S1" s="337"/>
      <c r="T1" s="337"/>
      <c r="U1" s="338"/>
      <c r="V1" s="338"/>
      <c r="W1" s="338"/>
      <c r="X1" s="338"/>
      <c r="Y1" s="338"/>
      <c r="Z1" s="339"/>
    </row>
    <row r="2" spans="1:26" ht="13.5" customHeight="1" thickBot="1" x14ac:dyDescent="0.25">
      <c r="A2" s="326"/>
      <c r="B2" s="328" t="s">
        <v>3</v>
      </c>
      <c r="C2" s="330" t="s">
        <v>4</v>
      </c>
      <c r="D2" s="332" t="s">
        <v>5</v>
      </c>
      <c r="E2" s="332"/>
      <c r="F2" s="333" t="s">
        <v>6</v>
      </c>
      <c r="G2" s="3"/>
      <c r="H2" s="335" t="s">
        <v>7</v>
      </c>
      <c r="I2" s="287"/>
      <c r="J2" s="287"/>
      <c r="K2" s="287"/>
      <c r="L2" s="288"/>
      <c r="O2" s="166" t="s">
        <v>55</v>
      </c>
      <c r="P2" s="167" t="s">
        <v>56</v>
      </c>
      <c r="Q2" s="167" t="s">
        <v>57</v>
      </c>
      <c r="R2" s="167" t="s">
        <v>58</v>
      </c>
      <c r="S2" s="167" t="s">
        <v>59</v>
      </c>
      <c r="T2" s="167" t="s">
        <v>60</v>
      </c>
      <c r="U2" s="167" t="s">
        <v>61</v>
      </c>
      <c r="V2" s="167" t="s">
        <v>62</v>
      </c>
      <c r="W2" s="167" t="s">
        <v>63</v>
      </c>
      <c r="X2" s="167" t="s">
        <v>64</v>
      </c>
      <c r="Y2" s="167" t="s">
        <v>65</v>
      </c>
      <c r="Z2" s="168" t="s">
        <v>66</v>
      </c>
    </row>
    <row r="3" spans="1:26" ht="13.5" customHeight="1" thickBot="1" x14ac:dyDescent="0.25">
      <c r="A3" s="327"/>
      <c r="B3" s="329"/>
      <c r="C3" s="331"/>
      <c r="D3" s="4" t="s">
        <v>8</v>
      </c>
      <c r="E3" s="5" t="s">
        <v>9</v>
      </c>
      <c r="F3" s="334"/>
      <c r="G3" s="3"/>
      <c r="H3" s="6" t="s">
        <v>10</v>
      </c>
      <c r="I3" s="7" t="s">
        <v>11</v>
      </c>
      <c r="J3" s="7" t="s">
        <v>12</v>
      </c>
      <c r="K3" s="7" t="s">
        <v>6</v>
      </c>
      <c r="L3" s="8" t="s">
        <v>13</v>
      </c>
    </row>
    <row r="4" spans="1:26" ht="13.5" customHeight="1" thickBot="1" x14ac:dyDescent="0.25">
      <c r="A4" s="9"/>
      <c r="B4" s="10"/>
      <c r="C4" s="268" t="s">
        <v>14</v>
      </c>
      <c r="D4" s="268"/>
      <c r="E4" s="268"/>
      <c r="F4" s="269"/>
      <c r="G4" s="11"/>
      <c r="H4" s="12" t="s">
        <v>15</v>
      </c>
      <c r="I4" s="131">
        <f>Šaštín!I4+Holíč!I4+'Mor. Ján'!I4+Lozorno!I4+Sološnica!I4+Stupava!I4</f>
        <v>3437</v>
      </c>
      <c r="J4" s="131">
        <f>Šaštín!J4+Holíč!J4+'Mor. Ján'!J4+Lozorno!J4+Sološnica!J4+Stupava!J4</f>
        <v>15421</v>
      </c>
      <c r="K4" s="128">
        <f>SUM(I4:J4)</f>
        <v>18858</v>
      </c>
      <c r="L4" s="15" t="s">
        <v>16</v>
      </c>
      <c r="O4" s="340" t="s">
        <v>67</v>
      </c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</row>
    <row r="5" spans="1:26" ht="13.5" customHeight="1" x14ac:dyDescent="0.2">
      <c r="A5" s="16" t="s">
        <v>17</v>
      </c>
      <c r="B5" s="17" t="s">
        <v>18</v>
      </c>
      <c r="C5" s="131">
        <f>Šaštín!C5+Holíč!C5+'Mor. Ján'!C5+Lozorno!C5+Sološnica!C5+Stupava!C5</f>
        <v>9471</v>
      </c>
      <c r="D5" s="131">
        <f>Šaštín!D5+Holíč!D5+'Mor. Ján'!D5+Lozorno!D5+Sološnica!D5+Stupava!D5</f>
        <v>5647</v>
      </c>
      <c r="E5" s="131">
        <f>Šaštín!E5+Holíč!E5+'Mor. Ján'!E5+Lozorno!E5+Sološnica!E5+Stupava!E5</f>
        <v>812</v>
      </c>
      <c r="F5" s="149">
        <f>SUM(C5:E5)</f>
        <v>15930</v>
      </c>
      <c r="G5" s="21"/>
      <c r="H5" s="22" t="s">
        <v>19</v>
      </c>
      <c r="I5" s="131">
        <f>Šaštín!I5+Holíč!I5+'Mor. Ján'!I5+Lozorno!I5+Sološnica!I5+Stupava!I5</f>
        <v>3522</v>
      </c>
      <c r="J5" s="131">
        <f>Šaštín!J5+Holíč!J5+'Mor. Ján'!J5+Lozorno!J5+Sološnica!J5+Stupava!J5</f>
        <v>7184</v>
      </c>
      <c r="K5" s="134">
        <f>SUM(I5:J5)</f>
        <v>10706</v>
      </c>
      <c r="L5" s="24" t="s">
        <v>16</v>
      </c>
      <c r="N5" s="210" t="s">
        <v>11</v>
      </c>
      <c r="O5" s="131">
        <f>Šaštín!N5+Holíč!N5+'Mor. Ján'!N5+Lozorno!N5+Sološnica!N5+Stupava!N5</f>
        <v>339</v>
      </c>
      <c r="P5" s="131">
        <f>Šaštín!O5+Holíč!O5+'Mor. Ján'!O5+Lozorno!O5+Sološnica!O5+Stupava!O5</f>
        <v>1016</v>
      </c>
      <c r="Q5" s="131">
        <f>Šaštín!P5+Holíč!P5+'Mor. Ján'!P5+Lozorno!P5+Sološnica!P5+Stupava!P5</f>
        <v>1369</v>
      </c>
      <c r="R5" s="131">
        <f>Šaštín!Q5+Holíč!Q5+'Mor. Ján'!Q5+Lozorno!Q5+Sološnica!Q5+Stupava!Q5</f>
        <v>1592</v>
      </c>
      <c r="S5" s="131">
        <f>Šaštín!R5+Holíč!R5+'Mor. Ján'!R5+Lozorno!R5+Sološnica!R5+Stupava!R5</f>
        <v>1666</v>
      </c>
      <c r="T5" s="131">
        <f>Šaštín!S5+Holíč!S5+'Mor. Ján'!S5+Lozorno!S5+Sološnica!S5+Stupava!S5</f>
        <v>1721</v>
      </c>
      <c r="U5" s="131">
        <f>Šaštín!T5+Holíč!T5+'Mor. Ján'!T5+Lozorno!T5+Sološnica!T5+Stupava!T5</f>
        <v>1790</v>
      </c>
      <c r="V5" s="131">
        <f>Šaštín!U5+Holíč!U5+'Mor. Ján'!U5+Lozorno!U5+Sološnica!U5+Stupava!U5</f>
        <v>1790</v>
      </c>
      <c r="W5" s="131">
        <f>Šaštín!V5+Holíč!V5+'Mor. Ján'!V5+Lozorno!V5+Sološnica!V5+Stupava!V5</f>
        <v>1796</v>
      </c>
      <c r="X5" s="131">
        <f>Šaštín!W5+Holíč!W5+'Mor. Ján'!W5+Lozorno!W5+Sološnica!W5+Stupava!W5</f>
        <v>1895</v>
      </c>
      <c r="Y5" s="131">
        <f>Šaštín!X5+Holíč!X5+'Mor. Ján'!X5+Lozorno!X5+Sološnica!X5+Stupava!X5</f>
        <v>0</v>
      </c>
      <c r="Z5" s="131">
        <f>Šaštín!Y5+Holíč!Y5+'Mor. Ján'!Y5+Lozorno!Y5+Sološnica!Y5+Stupava!Y5</f>
        <v>0</v>
      </c>
    </row>
    <row r="6" spans="1:26" ht="13.5" customHeight="1" thickBot="1" x14ac:dyDescent="0.25">
      <c r="A6" s="16" t="s">
        <v>20</v>
      </c>
      <c r="B6" s="17" t="s">
        <v>18</v>
      </c>
      <c r="C6" s="131">
        <f>Šaštín!C6+Holíč!C6+'Mor. Ján'!C6+Lozorno!C6+Sološnica!C6+Stupava!C6</f>
        <v>34937</v>
      </c>
      <c r="D6" s="131">
        <f>Šaštín!D6+Holíč!D6+'Mor. Ján'!D6+Lozorno!D6+Sološnica!D6+Stupava!D6</f>
        <v>6819</v>
      </c>
      <c r="E6" s="131">
        <f>Šaštín!E6+Holíč!E6+'Mor. Ján'!E6+Lozorno!E6+Sološnica!E6+Stupava!E6</f>
        <v>624</v>
      </c>
      <c r="F6" s="149">
        <f>SUM(C6:E6)</f>
        <v>42380</v>
      </c>
      <c r="G6" s="21"/>
      <c r="H6" s="22" t="s">
        <v>21</v>
      </c>
      <c r="I6" s="131">
        <f>Šaštín!I6+Holíč!I6+'Mor. Ján'!I6+Lozorno!I6+Sološnica!I6+Stupava!I6</f>
        <v>3551</v>
      </c>
      <c r="J6" s="131">
        <f>Šaštín!J6+Holíč!J6+'Mor. Ján'!J6+Lozorno!J6+Sološnica!J6+Stupava!J6</f>
        <v>8304</v>
      </c>
      <c r="K6" s="132">
        <f>SUM(I6:J6)</f>
        <v>11855</v>
      </c>
      <c r="L6" s="24" t="s">
        <v>16</v>
      </c>
      <c r="N6" s="212" t="s">
        <v>12</v>
      </c>
      <c r="O6" s="131">
        <f>Šaštín!N6+Holíč!N6+'Mor. Ján'!N6+Lozorno!N6+Sološnica!N6+Stupava!N6</f>
        <v>2346</v>
      </c>
      <c r="P6" s="131">
        <f>Šaštín!O6+Holíč!O6+'Mor. Ján'!O6+Lozorno!O6+Sološnica!O6+Stupava!O6</f>
        <v>7694</v>
      </c>
      <c r="Q6" s="131">
        <f>Šaštín!P6+Holíč!P6+'Mor. Ján'!P6+Lozorno!P6+Sološnica!P6+Stupava!P6</f>
        <v>12888</v>
      </c>
      <c r="R6" s="131">
        <f>Šaštín!Q6+Holíč!Q6+'Mor. Ján'!Q6+Lozorno!Q6+Sološnica!Q6+Stupava!Q6</f>
        <v>17485</v>
      </c>
      <c r="S6" s="131">
        <f>Šaštín!R6+Holíč!R6+'Mor. Ján'!R6+Lozorno!R6+Sološnica!R6+Stupava!R6</f>
        <v>19396</v>
      </c>
      <c r="T6" s="131">
        <f>Šaštín!S6+Holíč!S6+'Mor. Ján'!S6+Lozorno!S6+Sološnica!S6+Stupava!S6</f>
        <v>20468</v>
      </c>
      <c r="U6" s="131">
        <f>Šaštín!T6+Holíč!T6+'Mor. Ján'!T6+Lozorno!T6+Sološnica!T6+Stupava!T6</f>
        <v>22126</v>
      </c>
      <c r="V6" s="131">
        <f>Šaštín!U6+Holíč!U6+'Mor. Ján'!U6+Lozorno!U6+Sološnica!U6+Stupava!U6</f>
        <v>25261</v>
      </c>
      <c r="W6" s="131">
        <f>Šaštín!V6+Holíč!V6+'Mor. Ján'!V6+Lozorno!V6+Sološnica!V6+Stupava!V6</f>
        <v>28701</v>
      </c>
      <c r="X6" s="131">
        <f>Šaštín!W6+Holíč!W6+'Mor. Ján'!W6+Lozorno!W6+Sološnica!W6+Stupava!W6</f>
        <v>33120</v>
      </c>
      <c r="Y6" s="131">
        <f>Šaštín!X6+Holíč!X6+'Mor. Ján'!X6+Lozorno!X6+Sološnica!X6+Stupava!X6</f>
        <v>0</v>
      </c>
      <c r="Z6" s="131">
        <f>Šaštín!Y6+Holíč!Y6+'Mor. Ján'!Y6+Lozorno!Y6+Sološnica!Y6+Stupava!Y6</f>
        <v>0</v>
      </c>
    </row>
    <row r="7" spans="1:26" ht="13.5" customHeight="1" thickBot="1" x14ac:dyDescent="0.25">
      <c r="A7" s="289" t="s">
        <v>6</v>
      </c>
      <c r="B7" s="291" t="s">
        <v>22</v>
      </c>
      <c r="C7" s="299">
        <f>SUM(C5:C6)</f>
        <v>44408</v>
      </c>
      <c r="D7" s="301">
        <f>SUM(D5:D6)</f>
        <v>12466</v>
      </c>
      <c r="E7" s="301">
        <f>SUM(E5:E6)</f>
        <v>1436</v>
      </c>
      <c r="F7" s="303">
        <f>SUM(C7:E7)</f>
        <v>58310</v>
      </c>
      <c r="G7" s="25"/>
      <c r="H7" s="26" t="s">
        <v>23</v>
      </c>
      <c r="I7" s="132">
        <f>I8-I4-I5-I6</f>
        <v>5420</v>
      </c>
      <c r="J7" s="132">
        <f>J8-J4-J5-J6</f>
        <v>11471</v>
      </c>
      <c r="K7" s="132">
        <f>SUM(I7:J7)</f>
        <v>16891</v>
      </c>
      <c r="L7" s="27" t="s">
        <v>16</v>
      </c>
      <c r="N7" s="214" t="s">
        <v>78</v>
      </c>
      <c r="O7" s="215">
        <f>O5+O6</f>
        <v>2685</v>
      </c>
      <c r="P7" s="216">
        <f>P5+P6</f>
        <v>8710</v>
      </c>
      <c r="Q7" s="173">
        <f>SUM(Q5:Q6)</f>
        <v>14257</v>
      </c>
      <c r="R7" s="173">
        <f t="shared" ref="R7:Z7" si="0">SUM(R5:R6)</f>
        <v>19077</v>
      </c>
      <c r="S7" s="173">
        <f t="shared" si="0"/>
        <v>21062</v>
      </c>
      <c r="T7" s="173">
        <f t="shared" si="0"/>
        <v>22189</v>
      </c>
      <c r="U7" s="173">
        <f t="shared" si="0"/>
        <v>23916</v>
      </c>
      <c r="V7" s="173">
        <f t="shared" si="0"/>
        <v>27051</v>
      </c>
      <c r="W7" s="173">
        <f t="shared" si="0"/>
        <v>30497</v>
      </c>
      <c r="X7" s="173">
        <f t="shared" si="0"/>
        <v>35015</v>
      </c>
      <c r="Y7" s="173">
        <f t="shared" si="0"/>
        <v>0</v>
      </c>
      <c r="Z7" s="174">
        <f t="shared" si="0"/>
        <v>0</v>
      </c>
    </row>
    <row r="8" spans="1:26" ht="13.5" customHeight="1" thickBot="1" x14ac:dyDescent="0.25">
      <c r="A8" s="320"/>
      <c r="B8" s="321"/>
      <c r="C8" s="322"/>
      <c r="D8" s="323"/>
      <c r="E8" s="323"/>
      <c r="F8" s="324"/>
      <c r="G8" s="25"/>
      <c r="H8" s="28" t="s">
        <v>24</v>
      </c>
      <c r="I8" s="133">
        <f>F5</f>
        <v>15930</v>
      </c>
      <c r="J8" s="133">
        <f>F6</f>
        <v>42380</v>
      </c>
      <c r="K8" s="133">
        <f>SUM(I8:J8)</f>
        <v>58310</v>
      </c>
      <c r="L8" s="30" t="s">
        <v>16</v>
      </c>
    </row>
    <row r="9" spans="1:26" ht="13.5" customHeight="1" thickBot="1" x14ac:dyDescent="0.25">
      <c r="A9" s="31"/>
      <c r="B9" s="32"/>
      <c r="C9" s="268" t="s">
        <v>25</v>
      </c>
      <c r="D9" s="268"/>
      <c r="E9" s="268"/>
      <c r="F9" s="269"/>
      <c r="G9" s="21"/>
      <c r="H9" s="315"/>
      <c r="I9" s="316"/>
      <c r="J9" s="316"/>
      <c r="K9" s="316"/>
      <c r="L9" s="317"/>
      <c r="O9" s="341" t="s">
        <v>68</v>
      </c>
      <c r="P9" s="341"/>
      <c r="Q9" s="341"/>
      <c r="R9" s="341"/>
      <c r="S9" s="341"/>
      <c r="T9" s="341"/>
      <c r="U9" s="341"/>
      <c r="V9" s="341"/>
      <c r="W9" s="341"/>
      <c r="X9" s="341"/>
      <c r="Y9" s="341"/>
      <c r="Z9" s="341"/>
    </row>
    <row r="10" spans="1:26" ht="13.5" customHeight="1" x14ac:dyDescent="0.2">
      <c r="A10" s="16" t="s">
        <v>17</v>
      </c>
      <c r="B10" s="17" t="s">
        <v>18</v>
      </c>
      <c r="C10" s="131">
        <f>Šaštín!C10+Holíč!C10+'Mor. Ján'!C10+Lozorno!C10+Sološnica!C10+Stupava!C10</f>
        <v>7561</v>
      </c>
      <c r="D10" s="131">
        <f>Šaštín!D10+Holíč!D10+'Mor. Ján'!D10+Lozorno!D10+Sološnica!D10+Stupava!D10</f>
        <v>4715</v>
      </c>
      <c r="E10" s="131">
        <f>Šaštín!E10+Holíč!E10+'Mor. Ján'!E10+Lozorno!E10+Sološnica!E10+Stupava!E10</f>
        <v>1670</v>
      </c>
      <c r="F10" s="149">
        <f>SUM(C10:E10)</f>
        <v>13946</v>
      </c>
      <c r="G10" s="21"/>
      <c r="H10" s="22" t="s">
        <v>15</v>
      </c>
      <c r="I10" s="131">
        <f>Šaštín!I10+Holíč!I10+'Mor. Ján'!I10+Lozorno!I10+Sološnica!I10+Stupava!I10</f>
        <v>3794</v>
      </c>
      <c r="J10" s="131">
        <f>Šaštín!J10+Holíč!J10+'Mor. Ján'!J10+Lozorno!J10+Sološnica!J10+Stupava!J10</f>
        <v>5117</v>
      </c>
      <c r="K10" s="132">
        <f>SUM(I10:J10)</f>
        <v>8911</v>
      </c>
      <c r="L10" s="131">
        <f>Šaštín!L10+Holíč!L10+'Mor. Ján'!L10+Lozorno!L10+Sološnica!L10+Stupava!L10</f>
        <v>305.69000000000005</v>
      </c>
      <c r="N10" s="210" t="s">
        <v>11</v>
      </c>
      <c r="O10" s="131">
        <f>Šaštín!N10+Holíč!N10+'Mor. Ján'!N10+Lozorno!N10+Sološnica!N10+Stupava!N10</f>
        <v>268</v>
      </c>
      <c r="P10" s="131">
        <f>Šaštín!O10+Holíč!O10+'Mor. Ján'!O10+Lozorno!O10+Sološnica!O10+Stupava!O10</f>
        <v>427</v>
      </c>
      <c r="Q10" s="131">
        <f>Šaštín!P10+Holíč!P10+'Mor. Ján'!P10+Lozorno!P10+Sološnica!P10+Stupava!P10</f>
        <v>827</v>
      </c>
      <c r="R10" s="131">
        <f>Šaštín!Q10+Holíč!Q10+'Mor. Ján'!Q10+Lozorno!Q10+Sološnica!Q10+Stupava!Q10</f>
        <v>994</v>
      </c>
      <c r="S10" s="131">
        <f>Šaštín!R10+Holíč!R10+'Mor. Ján'!R10+Lozorno!R10+Sološnica!R10+Stupava!R10</f>
        <v>1326</v>
      </c>
      <c r="T10" s="131">
        <f>Šaštín!S10+Holíč!S10+'Mor. Ján'!S10+Lozorno!S10+Sološnica!S10+Stupava!S10</f>
        <v>1491</v>
      </c>
      <c r="U10" s="131">
        <f>Šaštín!T10+Holíč!T10+'Mor. Ján'!T10+Lozorno!T10+Sološnica!T10+Stupava!T10</f>
        <v>1627</v>
      </c>
      <c r="V10" s="131">
        <f>Šaštín!U10+Holíč!U10+'Mor. Ján'!U10+Lozorno!U10+Sološnica!U10+Stupava!U10</f>
        <v>1723</v>
      </c>
      <c r="W10" s="131">
        <f>Šaštín!V10+Holíč!V10+'Mor. Ján'!V10+Lozorno!V10+Sološnica!V10+Stupava!V10</f>
        <v>1879</v>
      </c>
      <c r="X10" s="131">
        <f>Šaštín!W10+Holíč!W10+'Mor. Ján'!W10+Lozorno!W10+Sološnica!W10+Stupava!W10</f>
        <v>1896</v>
      </c>
      <c r="Y10" s="131">
        <f>Šaštín!X10+Holíč!X10+'Mor. Ján'!X10+Lozorno!X10+Sološnica!X10+Stupava!X10</f>
        <v>0</v>
      </c>
      <c r="Z10" s="131">
        <f>Šaštín!Y10+Holíč!Y10+'Mor. Ján'!Y10+Lozorno!Y10+Sološnica!Y10+Stupava!Y10</f>
        <v>0</v>
      </c>
    </row>
    <row r="11" spans="1:26" ht="13.5" customHeight="1" thickBot="1" x14ac:dyDescent="0.25">
      <c r="A11" s="34" t="s">
        <v>20</v>
      </c>
      <c r="B11" s="35" t="s">
        <v>18</v>
      </c>
      <c r="C11" s="131">
        <f>Šaštín!C11+Holíč!C11+'Mor. Ján'!C11+Lozorno!C11+Sološnica!C11+Stupava!C11</f>
        <v>30827</v>
      </c>
      <c r="D11" s="131">
        <f>Šaštín!D11+Holíč!D11+'Mor. Ján'!D11+Lozorno!D11+Sološnica!D11+Stupava!D11</f>
        <v>4620</v>
      </c>
      <c r="E11" s="131">
        <f>Šaštín!E11+Holíč!E11+'Mor. Ján'!E11+Lozorno!E11+Sološnica!E11+Stupava!E11</f>
        <v>777</v>
      </c>
      <c r="F11" s="150">
        <f>SUM(C11:E11)</f>
        <v>36224</v>
      </c>
      <c r="G11" s="21"/>
      <c r="H11" s="39" t="s">
        <v>19</v>
      </c>
      <c r="I11" s="131">
        <f>Šaštín!I11+Holíč!I11+'Mor. Ján'!I11+Lozorno!I11+Sološnica!I11+Stupava!I11</f>
        <v>2010</v>
      </c>
      <c r="J11" s="131">
        <f>Šaštín!J11+Holíč!J11+'Mor. Ján'!J11+Lozorno!J11+Sološnica!J11+Stupava!J11</f>
        <v>11187</v>
      </c>
      <c r="K11" s="134">
        <f>SUM(I11:J11)</f>
        <v>13197</v>
      </c>
      <c r="L11" s="131">
        <f>Šaštín!L11+Holíč!L11+'Mor. Ján'!L11+Lozorno!L11+Sološnica!L11+Stupava!L11</f>
        <v>448.75</v>
      </c>
      <c r="N11" s="212" t="s">
        <v>12</v>
      </c>
      <c r="O11" s="131">
        <f>Šaštín!N11+Holíč!N11+'Mor. Ján'!N11+Lozorno!N11+Sološnica!N11+Stupava!N11</f>
        <v>1092</v>
      </c>
      <c r="P11" s="131">
        <f>Šaštín!O11+Holíč!O11+'Mor. Ján'!O11+Lozorno!O11+Sološnica!O11+Stupava!O11</f>
        <v>2704</v>
      </c>
      <c r="Q11" s="131">
        <f>Šaštín!P11+Holíč!P11+'Mor. Ján'!P11+Lozorno!P11+Sološnica!P11+Stupava!P11</f>
        <v>5662</v>
      </c>
      <c r="R11" s="131">
        <f>Šaštín!Q11+Holíč!Q11+'Mor. Ján'!Q11+Lozorno!Q11+Sološnica!Q11+Stupava!Q11</f>
        <v>8254</v>
      </c>
      <c r="S11" s="131">
        <f>Šaštín!R11+Holíč!R11+'Mor. Ján'!R11+Lozorno!R11+Sološnica!R11+Stupava!R11</f>
        <v>11066</v>
      </c>
      <c r="T11" s="131">
        <f>Šaštín!S11+Holíč!S11+'Mor. Ján'!S11+Lozorno!S11+Sološnica!S11+Stupava!S11</f>
        <v>13916</v>
      </c>
      <c r="U11" s="131">
        <f>Šaštín!T11+Holíč!T11+'Mor. Ján'!T11+Lozorno!T11+Sološnica!T11+Stupava!T11</f>
        <v>16283</v>
      </c>
      <c r="V11" s="131">
        <f>Šaštín!U11+Holíč!U11+'Mor. Ján'!U11+Lozorno!U11+Sološnica!U11+Stupava!U11</f>
        <v>18886</v>
      </c>
      <c r="W11" s="131">
        <f>Šaštín!V11+Holíč!V11+'Mor. Ján'!V11+Lozorno!V11+Sološnica!V11+Stupava!V11</f>
        <v>21531</v>
      </c>
      <c r="X11" s="131">
        <f>Šaštín!W11+Holíč!W11+'Mor. Ján'!W11+Lozorno!W11+Sološnica!W11+Stupava!W11</f>
        <v>24977</v>
      </c>
      <c r="Y11" s="131">
        <f>Šaštín!X11+Holíč!X11+'Mor. Ján'!X11+Lozorno!X11+Sološnica!X11+Stupava!X11</f>
        <v>0</v>
      </c>
      <c r="Z11" s="131">
        <f>Šaštín!Y11+Holíč!Y11+'Mor. Ján'!Y11+Lozorno!Y11+Sološnica!Y11+Stupava!Y11</f>
        <v>0</v>
      </c>
    </row>
    <row r="12" spans="1:26" ht="13.5" customHeight="1" thickBot="1" x14ac:dyDescent="0.25">
      <c r="A12" s="42" t="s">
        <v>6</v>
      </c>
      <c r="B12" s="43" t="s">
        <v>22</v>
      </c>
      <c r="C12" s="151">
        <f>SUM(C10:C11)</f>
        <v>38388</v>
      </c>
      <c r="D12" s="152">
        <f>SUM(D10:D11)</f>
        <v>9335</v>
      </c>
      <c r="E12" s="152">
        <f>SUM(E10:E11)</f>
        <v>2447</v>
      </c>
      <c r="F12" s="153">
        <f>SUM(C12:E12)</f>
        <v>50170</v>
      </c>
      <c r="G12" s="21"/>
      <c r="H12" s="22" t="s">
        <v>21</v>
      </c>
      <c r="I12" s="131">
        <f>Šaštín!I12+Holíč!I12+'Mor. Ján'!I12+Lozorno!I12+Sološnica!I12+Stupava!I12</f>
        <v>5307</v>
      </c>
      <c r="J12" s="131">
        <f>Šaštín!J12+Holíč!J12+'Mor. Ján'!J12+Lozorno!J12+Sološnica!J12+Stupava!J12</f>
        <v>11142</v>
      </c>
      <c r="K12" s="132">
        <f>SUM(I12:J12)</f>
        <v>16449</v>
      </c>
      <c r="L12" s="131">
        <f>Šaštín!L12+Holíč!L12+'Mor. Ján'!L12+Lozorno!L12+Sološnica!L12+Stupava!L12</f>
        <v>500.06</v>
      </c>
      <c r="N12" s="214" t="s">
        <v>78</v>
      </c>
      <c r="O12" s="171">
        <f>O10+O11</f>
        <v>1360</v>
      </c>
      <c r="P12" s="172">
        <f>P10+P11</f>
        <v>3131</v>
      </c>
      <c r="Q12" s="173">
        <f>SUM(Q10:Q11)</f>
        <v>6489</v>
      </c>
      <c r="R12" s="173">
        <f t="shared" ref="R12:Z12" si="1">SUM(R10:R11)</f>
        <v>9248</v>
      </c>
      <c r="S12" s="173">
        <f t="shared" si="1"/>
        <v>12392</v>
      </c>
      <c r="T12" s="173">
        <f t="shared" si="1"/>
        <v>15407</v>
      </c>
      <c r="U12" s="173">
        <f t="shared" si="1"/>
        <v>17910</v>
      </c>
      <c r="V12" s="173">
        <f t="shared" si="1"/>
        <v>20609</v>
      </c>
      <c r="W12" s="173">
        <f t="shared" si="1"/>
        <v>23410</v>
      </c>
      <c r="X12" s="173">
        <f t="shared" si="1"/>
        <v>26873</v>
      </c>
      <c r="Y12" s="173">
        <f t="shared" si="1"/>
        <v>0</v>
      </c>
      <c r="Z12" s="174">
        <f t="shared" si="1"/>
        <v>0</v>
      </c>
    </row>
    <row r="13" spans="1:26" ht="13.5" thickBot="1" x14ac:dyDescent="0.25">
      <c r="A13" s="47" t="s">
        <v>26</v>
      </c>
      <c r="B13" s="48" t="s">
        <v>13</v>
      </c>
      <c r="C13" s="131">
        <f>Šaštín!C13+Holíč!C13+'Mor. Ján'!C13+Lozorno!C13+Sološnica!C13+Stupava!C13</f>
        <v>1134.1300000000001</v>
      </c>
      <c r="D13" s="131">
        <f>Šaštín!D13+Holíč!D13+'Mor. Ján'!D13+Lozorno!D13+Sološnica!D13+Stupava!D13</f>
        <v>319.27999999999997</v>
      </c>
      <c r="E13" s="131">
        <f>Šaštín!E13+Holíč!E13+'Mor. Ján'!E13+Lozorno!E13+Sološnica!E13+Stupava!E13</f>
        <v>131.55000000000001</v>
      </c>
      <c r="F13" s="154">
        <f>SUM(C13:E13)</f>
        <v>1584.96</v>
      </c>
      <c r="G13" s="50"/>
      <c r="H13" s="22" t="s">
        <v>23</v>
      </c>
      <c r="I13" s="132">
        <f>I14-I10-I11-I12</f>
        <v>2835</v>
      </c>
      <c r="J13" s="132">
        <f>J14-J10-J11-J12</f>
        <v>8778</v>
      </c>
      <c r="K13" s="132">
        <f>SUM(I13:J13)</f>
        <v>11613</v>
      </c>
      <c r="L13" s="135">
        <f>L14-L10-L11-L12</f>
        <v>330.46</v>
      </c>
      <c r="N13" s="242" t="s">
        <v>98</v>
      </c>
      <c r="O13" s="131">
        <f>Šaštín!O13+Holíč!O13+'Mor. Ján'!O13+Lozorno!O13+Sološnica!O13+Stupava!O13</f>
        <v>51</v>
      </c>
      <c r="P13" s="131">
        <f>Šaštín!P13+Holíč!P13+'Mor. Ján'!P13+Lozorno!P13+Sološnica!P13+Stupava!P13</f>
        <v>117</v>
      </c>
      <c r="Q13" s="131">
        <f>Šaštín!Q13+Holíč!Q13+'Mor. Ján'!Q13+Lozorno!Q13+Sološnica!Q13+Stupava!Q13</f>
        <v>205</v>
      </c>
      <c r="R13" s="131">
        <f>Šaštín!R13+Holíč!R13+'Mor. Ján'!R13+Lozorno!R13+Sološnica!R13+Stupava!R13</f>
        <v>311</v>
      </c>
      <c r="S13" s="131">
        <f>Šaštín!S13+Holíč!S13+'Mor. Ján'!S13+Lozorno!S13+Sološnica!S13+Stupava!S13</f>
        <v>373</v>
      </c>
      <c r="T13" s="131">
        <f>Šaštín!T13+Holíč!T13+'Mor. Ján'!T13+Lozorno!T13+Sološnica!T13+Stupava!T13</f>
        <v>436</v>
      </c>
      <c r="U13" s="131">
        <f>Šaštín!U13+Holíč!U13+'Mor. Ján'!U13+Lozorno!U13+Sološnica!U13+Stupava!U13</f>
        <v>494</v>
      </c>
      <c r="V13" s="131">
        <f>Šaštín!V13+Holíč!V13+'Mor. Ján'!V13+Lozorno!V13+Sološnica!V13+Stupava!V13</f>
        <v>525</v>
      </c>
      <c r="W13" s="131">
        <f>Šaštín!V13+Holíč!V13+'Mor. Ján'!V13+Lozorno!V13+Sološnica!V13+Stupava!V13</f>
        <v>525</v>
      </c>
      <c r="X13" s="131">
        <f>Šaštín!X13+Holíč!X13+'Mor. Ján'!X13+Lozorno!X13+Sološnica!X13+Stupava!X13</f>
        <v>0</v>
      </c>
      <c r="Y13" s="131">
        <f>Šaštín!Y13+Holíč!Y13+'Mor. Ján'!Y13+Lozorno!Y13+Sološnica!Y13+Stupava!Y13</f>
        <v>0</v>
      </c>
      <c r="Z13" s="131">
        <f>Šaštín!Z13+Holíč!Z13+'Mor. Ján'!Z13+Lozorno!Z13+Sološnica!Z13+Stupava!Z13</f>
        <v>0</v>
      </c>
    </row>
    <row r="14" spans="1:26" ht="13.5" thickBot="1" x14ac:dyDescent="0.25">
      <c r="A14" s="52" t="s">
        <v>27</v>
      </c>
      <c r="B14" s="53" t="s">
        <v>28</v>
      </c>
      <c r="C14" s="54">
        <f>IF(C13=0,0,ROUND((C12/C13),2))</f>
        <v>33.85</v>
      </c>
      <c r="D14" s="55">
        <f>IF(D13=0,0,ROUND((D12/D13),2))</f>
        <v>29.24</v>
      </c>
      <c r="E14" s="55">
        <f>IF(E13=0,0,ROUND((E12/E13),2))</f>
        <v>18.600000000000001</v>
      </c>
      <c r="F14" s="56">
        <f>IF(F13=0,0,ROUND((F12/F13),2))</f>
        <v>31.65</v>
      </c>
      <c r="G14" s="57"/>
      <c r="H14" s="58" t="s">
        <v>24</v>
      </c>
      <c r="I14" s="133">
        <f>F10</f>
        <v>13946</v>
      </c>
      <c r="J14" s="133">
        <f>F11</f>
        <v>36224</v>
      </c>
      <c r="K14" s="133">
        <f>SUM(I14:J14)</f>
        <v>50170</v>
      </c>
      <c r="L14" s="136">
        <f>F13</f>
        <v>1584.96</v>
      </c>
    </row>
    <row r="15" spans="1:26" ht="13.5" thickBot="1" x14ac:dyDescent="0.25">
      <c r="A15" s="31"/>
      <c r="B15" s="32"/>
      <c r="C15" s="268" t="s">
        <v>29</v>
      </c>
      <c r="D15" s="268"/>
      <c r="E15" s="268"/>
      <c r="F15" s="269"/>
      <c r="G15" s="21"/>
      <c r="H15" s="315"/>
      <c r="I15" s="316"/>
      <c r="J15" s="316"/>
      <c r="K15" s="316"/>
      <c r="L15" s="317"/>
      <c r="O15" s="341" t="s">
        <v>69</v>
      </c>
      <c r="P15" s="341"/>
      <c r="Q15" s="341"/>
      <c r="R15" s="341"/>
      <c r="S15" s="341"/>
      <c r="T15" s="341"/>
      <c r="U15" s="341"/>
      <c r="V15" s="341"/>
      <c r="W15" s="341"/>
      <c r="X15" s="341"/>
      <c r="Y15" s="341"/>
      <c r="Z15" s="341"/>
    </row>
    <row r="16" spans="1:26" x14ac:dyDescent="0.2">
      <c r="A16" s="16" t="s">
        <v>17</v>
      </c>
      <c r="B16" s="17" t="s">
        <v>18</v>
      </c>
      <c r="C16" s="131">
        <f>Šaštín!C16+Holíč!C16+'Mor. Ján'!C16+Lozorno!C16+Sološnica!C16+Stupava!C16</f>
        <v>5399</v>
      </c>
      <c r="D16" s="131">
        <f>Šaštín!D16+Holíč!D16+'Mor. Ján'!D16+Lozorno!D16+Sološnica!D16+Stupava!D16</f>
        <v>2967</v>
      </c>
      <c r="E16" s="131">
        <f>Šaštín!E16+Holíč!E16+'Mor. Ján'!E16+Lozorno!E16+Sološnica!E16+Stupava!E16</f>
        <v>1129</v>
      </c>
      <c r="F16" s="149">
        <f>SUM(C16:E16)</f>
        <v>9495</v>
      </c>
      <c r="G16" s="21"/>
      <c r="H16" s="22" t="s">
        <v>15</v>
      </c>
      <c r="I16" s="131">
        <f>Šaštín!I16+Holíč!I16+'Mor. Ján'!I16+Lozorno!I16+Sološnica!I16+Stupava!I16</f>
        <v>2497</v>
      </c>
      <c r="J16" s="131">
        <f>Šaštín!J16+Holíč!J16+'Mor. Ján'!J16+Lozorno!J16+Sološnica!J16+Stupava!J16</f>
        <v>492</v>
      </c>
      <c r="K16" s="132">
        <f>SUM(I16:J16)</f>
        <v>2989</v>
      </c>
      <c r="L16" s="131">
        <f>Šaštín!L16+Holíč!L16+'Mor. Ján'!L16+Lozorno!L16+Sološnica!L16+Stupava!L16</f>
        <v>133.05000000000001</v>
      </c>
      <c r="N16" s="210" t="s">
        <v>11</v>
      </c>
      <c r="O16" s="131">
        <f>Šaštín!N16+Holíč!N16+'Mor. Ján'!N16+Lozorno!N16+Sološnica!N16+Stupava!N16</f>
        <v>268</v>
      </c>
      <c r="P16" s="131">
        <f>Šaštín!O16+Holíč!O16+'Mor. Ján'!O16+Lozorno!O16+Sološnica!O16+Stupava!O16</f>
        <v>427</v>
      </c>
      <c r="Q16" s="131">
        <f>Šaštín!P16+Holíč!P16+'Mor. Ján'!P16+Lozorno!P16+Sološnica!P16+Stupava!P16</f>
        <v>604</v>
      </c>
      <c r="R16" s="131">
        <f>Šaštín!Q16+Holíč!Q16+'Mor. Ján'!Q16+Lozorno!Q16+Sološnica!Q16+Stupava!Q16</f>
        <v>749</v>
      </c>
      <c r="S16" s="131">
        <f>Šaštín!R16+Holíč!R16+'Mor. Ján'!R16+Lozorno!R16+Sološnica!R16+Stupava!R16</f>
        <v>1051</v>
      </c>
      <c r="T16" s="131">
        <f>Šaštín!S16+Holíč!S16+'Mor. Ján'!S16+Lozorno!S16+Sološnica!S16+Stupava!S16</f>
        <v>1170</v>
      </c>
      <c r="U16" s="131">
        <f>Šaštín!T16+Holíč!T16+'Mor. Ján'!T16+Lozorno!T16+Sološnica!T16+Stupava!T16</f>
        <v>1330</v>
      </c>
      <c r="V16" s="131">
        <f>Šaštín!U16+Holíč!U16+'Mor. Ján'!U16+Lozorno!U16+Sološnica!U16+Stupava!U16</f>
        <v>1369</v>
      </c>
      <c r="W16" s="131">
        <f>Šaštín!V16+Holíč!V16+'Mor. Ján'!V16+Lozorno!V16+Sološnica!V16+Stupava!V16</f>
        <v>1417</v>
      </c>
      <c r="X16" s="131">
        <f>Šaštín!W16+Holíč!W16+'Mor. Ján'!W16+Lozorno!W16+Sološnica!W16+Stupava!W16</f>
        <v>1425</v>
      </c>
      <c r="Y16" s="131">
        <f>Šaštín!X16+Holíč!X16+'Mor. Ján'!X16+Lozorno!X16+Sološnica!X16+Stupava!X16</f>
        <v>0</v>
      </c>
      <c r="Z16" s="131">
        <f>Šaštín!Y16+Holíč!Y16+'Mor. Ján'!Y16+Lozorno!Y16+Sološnica!Y16+Stupava!Y16</f>
        <v>0</v>
      </c>
    </row>
    <row r="17" spans="1:26" ht="13.5" thickBot="1" x14ac:dyDescent="0.25">
      <c r="A17" s="34" t="s">
        <v>20</v>
      </c>
      <c r="B17" s="35" t="s">
        <v>18</v>
      </c>
      <c r="C17" s="131">
        <f>Šaštín!C17+Holíč!C17+'Mor. Ján'!C17+Lozorno!C17+Sološnica!C17+Stupava!C17</f>
        <v>7386</v>
      </c>
      <c r="D17" s="131">
        <f>Šaštín!D17+Holíč!D17+'Mor. Ján'!D17+Lozorno!D17+Sološnica!D17+Stupava!D17</f>
        <v>693</v>
      </c>
      <c r="E17" s="131">
        <f>Šaštín!E17+Holíč!E17+'Mor. Ján'!E17+Lozorno!E17+Sološnica!E17+Stupava!E17</f>
        <v>17</v>
      </c>
      <c r="F17" s="150">
        <f>SUM(C17:E17)</f>
        <v>8096</v>
      </c>
      <c r="G17" s="21"/>
      <c r="H17" s="39" t="s">
        <v>19</v>
      </c>
      <c r="I17" s="131">
        <f>Šaštín!I17+Holíč!I17+'Mor. Ján'!I17+Lozorno!I17+Sološnica!I17+Stupava!I17</f>
        <v>762</v>
      </c>
      <c r="J17" s="131">
        <f>Šaštín!J17+Holíč!J17+'Mor. Ján'!J17+Lozorno!J17+Sološnica!J17+Stupava!J17</f>
        <v>2710</v>
      </c>
      <c r="K17" s="134">
        <f>SUM(I17:J17)</f>
        <v>3472</v>
      </c>
      <c r="L17" s="131">
        <f>Šaštín!L17+Holíč!L17+'Mor. Ján'!L17+Lozorno!L17+Sološnica!L17+Stupava!L17</f>
        <v>173.85</v>
      </c>
      <c r="N17" s="212" t="s">
        <v>12</v>
      </c>
      <c r="O17" s="131">
        <f>Šaštín!N17+Holíč!N17+'Mor. Ján'!N17+Lozorno!N17+Sološnica!N17+Stupava!N17</f>
        <v>431</v>
      </c>
      <c r="P17" s="131">
        <f>Šaštín!O17+Holíč!O17+'Mor. Ján'!O17+Lozorno!O17+Sološnica!O17+Stupava!O17</f>
        <v>624</v>
      </c>
      <c r="Q17" s="131">
        <f>Šaštín!P17+Holíč!P17+'Mor. Ján'!P17+Lozorno!P17+Sološnica!P17+Stupava!P17</f>
        <v>1132</v>
      </c>
      <c r="R17" s="131">
        <f>Šaštín!Q17+Holíč!Q17+'Mor. Ján'!Q17+Lozorno!Q17+Sološnica!Q17+Stupava!Q17</f>
        <v>1501</v>
      </c>
      <c r="S17" s="131">
        <f>Šaštín!R17+Holíč!R17+'Mor. Ján'!R17+Lozorno!R17+Sološnica!R17+Stupava!R17</f>
        <v>2021</v>
      </c>
      <c r="T17" s="131">
        <f>Šaštín!S17+Holíč!S17+'Mor. Ján'!S17+Lozorno!S17+Sološnica!S17+Stupava!S17</f>
        <v>2378</v>
      </c>
      <c r="U17" s="131">
        <f>Šaštín!T17+Holíč!T17+'Mor. Ján'!T17+Lozorno!T17+Sološnica!T17+Stupava!T17</f>
        <v>3059</v>
      </c>
      <c r="V17" s="131">
        <f>Šaštín!U17+Holíč!U17+'Mor. Ján'!U17+Lozorno!U17+Sološnica!U17+Stupava!U17</f>
        <v>3658</v>
      </c>
      <c r="W17" s="131">
        <f>Šaštín!V17+Holíč!V17+'Mor. Ján'!V17+Lozorno!V17+Sološnica!V17+Stupava!V17</f>
        <v>4019</v>
      </c>
      <c r="X17" s="131">
        <f>Šaštín!W17+Holíč!W17+'Mor. Ján'!W17+Lozorno!W17+Sološnica!W17+Stupava!W17</f>
        <v>4793</v>
      </c>
      <c r="Y17" s="131">
        <f>Šaštín!X17+Holíč!X17+'Mor. Ján'!X17+Lozorno!X17+Sološnica!X17+Stupava!X17</f>
        <v>0</v>
      </c>
      <c r="Z17" s="131">
        <f>Šaštín!Y17+Holíč!Y17+'Mor. Ján'!Y17+Lozorno!Y17+Sološnica!Y17+Stupava!Y17</f>
        <v>0</v>
      </c>
    </row>
    <row r="18" spans="1:26" ht="13.5" thickBot="1" x14ac:dyDescent="0.25">
      <c r="A18" s="42" t="s">
        <v>6</v>
      </c>
      <c r="B18" s="43" t="s">
        <v>22</v>
      </c>
      <c r="C18" s="147">
        <f>SUM(C16:C17)</f>
        <v>12785</v>
      </c>
      <c r="D18" s="148">
        <f>SUM(D16:D17)</f>
        <v>3660</v>
      </c>
      <c r="E18" s="148">
        <f>SUM(E16:E17)</f>
        <v>1146</v>
      </c>
      <c r="F18" s="149">
        <f>SUM(C18:E18)</f>
        <v>17591</v>
      </c>
      <c r="G18" s="21"/>
      <c r="H18" s="22" t="s">
        <v>21</v>
      </c>
      <c r="I18" s="131">
        <f>Šaštín!I18+Holíč!I18+'Mor. Ján'!I18+Lozorno!I18+Sološnica!I18+Stupava!I18</f>
        <v>3020</v>
      </c>
      <c r="J18" s="131">
        <f>Šaštín!J18+Holíč!J18+'Mor. Ján'!J18+Lozorno!J18+Sološnica!J18+Stupava!J18</f>
        <v>3438</v>
      </c>
      <c r="K18" s="132">
        <f>SUM(I18:J18)</f>
        <v>6458</v>
      </c>
      <c r="L18" s="131">
        <f>Šaštín!L18+Holíč!L18+'Mor. Ján'!L18+Lozorno!L18+Sološnica!L18+Stupava!L18</f>
        <v>276.93</v>
      </c>
      <c r="N18" s="214" t="s">
        <v>78</v>
      </c>
      <c r="O18" s="171">
        <f>O16+O17</f>
        <v>699</v>
      </c>
      <c r="P18" s="172">
        <f>P16+P17</f>
        <v>1051</v>
      </c>
      <c r="Q18" s="173">
        <f>SUM(Q16:Q17)</f>
        <v>1736</v>
      </c>
      <c r="R18" s="173">
        <f t="shared" ref="R18:Z18" si="2">SUM(R16:R17)</f>
        <v>2250</v>
      </c>
      <c r="S18" s="173">
        <f t="shared" si="2"/>
        <v>3072</v>
      </c>
      <c r="T18" s="173">
        <f t="shared" si="2"/>
        <v>3548</v>
      </c>
      <c r="U18" s="173">
        <f t="shared" si="2"/>
        <v>4389</v>
      </c>
      <c r="V18" s="173">
        <f t="shared" si="2"/>
        <v>5027</v>
      </c>
      <c r="W18" s="173">
        <f t="shared" si="2"/>
        <v>5436</v>
      </c>
      <c r="X18" s="173">
        <f t="shared" si="2"/>
        <v>6218</v>
      </c>
      <c r="Y18" s="173">
        <f t="shared" si="2"/>
        <v>0</v>
      </c>
      <c r="Z18" s="174">
        <f t="shared" si="2"/>
        <v>0</v>
      </c>
    </row>
    <row r="19" spans="1:26" ht="13.5" thickBot="1" x14ac:dyDescent="0.25">
      <c r="A19" s="47" t="s">
        <v>26</v>
      </c>
      <c r="B19" s="48" t="s">
        <v>13</v>
      </c>
      <c r="C19" s="131">
        <f>Šaštín!C19+Holíč!C19+'Mor. Ján'!C19+Lozorno!C19+Sološnica!C19+Stupava!C19</f>
        <v>528.05999999999995</v>
      </c>
      <c r="D19" s="131">
        <f>Šaštín!D19+Holíč!D19+'Mor. Ján'!D19+Lozorno!D19+Sološnica!D19+Stupava!D19</f>
        <v>143.52000000000001</v>
      </c>
      <c r="E19" s="131">
        <f>Šaštín!E19+Holíč!E19+'Mor. Ján'!E19+Lozorno!E19+Sološnica!E19+Stupava!E19</f>
        <v>46.03</v>
      </c>
      <c r="F19" s="154">
        <f>SUM(C19:E19)</f>
        <v>717.6099999999999</v>
      </c>
      <c r="G19" s="50"/>
      <c r="H19" s="22" t="s">
        <v>23</v>
      </c>
      <c r="I19" s="132">
        <f>I20-I16-I17-I18</f>
        <v>3216</v>
      </c>
      <c r="J19" s="132">
        <f>J20-J16-J17-J18</f>
        <v>1456</v>
      </c>
      <c r="K19" s="132">
        <f>SUM(I19:J19)</f>
        <v>4672</v>
      </c>
      <c r="L19" s="135">
        <f>L20-L16-L17-L18</f>
        <v>133.77999999999992</v>
      </c>
      <c r="N19" s="242" t="s">
        <v>98</v>
      </c>
      <c r="O19" s="131">
        <f>Šaštín!O19+Holíč!O19+'Mor. Ján'!O19+Lozorno!O19+Sološnica!O19+Stupava!O19</f>
        <v>24</v>
      </c>
      <c r="P19" s="131">
        <f>Šaštín!P19+Holíč!P19+'Mor. Ján'!P19+Lozorno!P19+Sološnica!P19+Stupava!P19</f>
        <v>39</v>
      </c>
      <c r="Q19" s="131">
        <f>Šaštín!Q19+Holíč!Q19+'Mor. Ján'!Q19+Lozorno!Q19+Sološnica!Q19+Stupava!Q19</f>
        <v>49</v>
      </c>
      <c r="R19" s="131">
        <f>Šaštín!R19+Holíč!R19+'Mor. Ján'!R19+Lozorno!R19+Sološnica!R19+Stupava!R19</f>
        <v>91</v>
      </c>
      <c r="S19" s="131">
        <f>Šaštín!S19+Holíč!S19+'Mor. Ján'!S19+Lozorno!S19+Sološnica!S19+Stupava!S19</f>
        <v>102</v>
      </c>
      <c r="T19" s="131">
        <f>Šaštín!T19+Holíč!T19+'Mor. Ján'!T19+Lozorno!T19+Sološnica!T19+Stupava!T19</f>
        <v>131</v>
      </c>
      <c r="U19" s="131">
        <f>Šaštín!U19+Holíč!U19+'Mor. Ján'!U19+Lozorno!U19+Sološnica!U19+Stupava!U19</f>
        <v>164</v>
      </c>
      <c r="V19" s="131">
        <f>Šaštín!V19+Holíč!V19+'Mor. Ján'!V19+Lozorno!V19+Sološnica!V19+Stupava!V19</f>
        <v>170</v>
      </c>
      <c r="W19" s="131">
        <f>Šaštín!V19+Holíč!V19+'Mor. Ján'!V19+Lozorno!V19+Sološnica!V19+Stupava!V19</f>
        <v>170</v>
      </c>
      <c r="X19" s="131">
        <f>Šaštín!X19+Holíč!X19+'Mor. Ján'!X19+Lozorno!X19+Sološnica!X19+Stupava!X19</f>
        <v>0</v>
      </c>
      <c r="Y19" s="131">
        <f>Šaštín!Y19+Holíč!Y19+'Mor. Ján'!Y19+Lozorno!Y19+Sološnica!Y19+Stupava!Y19</f>
        <v>0</v>
      </c>
      <c r="Z19" s="131">
        <f>Šaštín!Z19+Holíč!Z19+'Mor. Ján'!Z19+Lozorno!Z19+Sološnica!Z19+Stupava!Z19</f>
        <v>0</v>
      </c>
    </row>
    <row r="20" spans="1:26" x14ac:dyDescent="0.2">
      <c r="A20" s="62" t="s">
        <v>27</v>
      </c>
      <c r="B20" s="63" t="s">
        <v>28</v>
      </c>
      <c r="C20" s="64">
        <f>IF(C19=0,0,ROUND((C18/C19),2))</f>
        <v>24.21</v>
      </c>
      <c r="D20" s="65">
        <f>IF(D19=0,0,ROUND((D18/D19),2))</f>
        <v>25.5</v>
      </c>
      <c r="E20" s="65">
        <f>IF(E19=0,0,ROUND((E18/E19),2))</f>
        <v>24.9</v>
      </c>
      <c r="F20" s="66">
        <f>IF(F19=0,0,ROUND((F18/F19),2))</f>
        <v>24.51</v>
      </c>
      <c r="G20" s="57"/>
      <c r="H20" s="58" t="s">
        <v>24</v>
      </c>
      <c r="I20" s="133">
        <f>F16</f>
        <v>9495</v>
      </c>
      <c r="J20" s="133">
        <f>F17</f>
        <v>8096</v>
      </c>
      <c r="K20" s="133">
        <f>SUM(I20:J20)</f>
        <v>17591</v>
      </c>
      <c r="L20" s="136">
        <f>F19</f>
        <v>717.6099999999999</v>
      </c>
    </row>
    <row r="21" spans="1:26" ht="13.5" thickBot="1" x14ac:dyDescent="0.25">
      <c r="A21" s="318" t="s">
        <v>30</v>
      </c>
      <c r="B21" s="319"/>
      <c r="C21" s="67">
        <v>0</v>
      </c>
      <c r="D21" s="68">
        <v>0</v>
      </c>
      <c r="E21" s="68">
        <v>0</v>
      </c>
      <c r="F21" s="69">
        <f>SUM(C21:E21)</f>
        <v>0</v>
      </c>
      <c r="G21" s="21"/>
      <c r="H21" s="70"/>
      <c r="I21" s="71"/>
      <c r="J21" s="71"/>
      <c r="K21" s="71"/>
      <c r="L21" s="72"/>
    </row>
    <row r="22" spans="1:26" ht="13.5" thickBot="1" x14ac:dyDescent="0.25">
      <c r="A22" s="9"/>
      <c r="B22" s="10"/>
      <c r="C22" s="268" t="s">
        <v>31</v>
      </c>
      <c r="D22" s="268"/>
      <c r="E22" s="268"/>
      <c r="F22" s="269"/>
      <c r="G22" s="21"/>
      <c r="H22" s="12" t="s">
        <v>15</v>
      </c>
      <c r="I22" s="131">
        <f>Šaštín!I22+Holíč!I22+'Mor. Ján'!I22+Lozorno!I22+Sološnica!I22+Stupava!I22</f>
        <v>13385</v>
      </c>
      <c r="J22" s="131">
        <f>Šaštín!J22+Holíč!J22+'Mor. Ján'!J22+Lozorno!J22+Sološnica!J22+Stupava!J22</f>
        <v>345</v>
      </c>
      <c r="K22" s="128">
        <f t="shared" ref="K22:K41" si="3">SUM(I22:J22)</f>
        <v>13730</v>
      </c>
      <c r="L22" s="15" t="s">
        <v>16</v>
      </c>
      <c r="O22" s="341" t="s">
        <v>70</v>
      </c>
      <c r="P22" s="341"/>
      <c r="Q22" s="341"/>
      <c r="R22" s="341"/>
      <c r="S22" s="341"/>
      <c r="T22" s="341"/>
      <c r="U22" s="341"/>
      <c r="V22" s="341"/>
      <c r="W22" s="341"/>
      <c r="X22" s="341"/>
      <c r="Y22" s="341"/>
      <c r="Z22" s="341"/>
    </row>
    <row r="23" spans="1:26" x14ac:dyDescent="0.2">
      <c r="A23" s="16" t="s">
        <v>17</v>
      </c>
      <c r="B23" s="17" t="s">
        <v>18</v>
      </c>
      <c r="C23" s="131">
        <f>Šaštín!C23+Holíč!C23+'Mor. Ján'!C23+Lozorno!C23+Sološnica!C23+Stupava!C23</f>
        <v>21696</v>
      </c>
      <c r="D23" s="131">
        <f>Šaštín!D23+Holíč!D23+'Mor. Ján'!D23+Lozorno!D23+Sološnica!D23+Stupava!D23</f>
        <v>12467</v>
      </c>
      <c r="E23" s="131">
        <f>Šaštín!E23+Holíč!E23+'Mor. Ján'!E23+Lozorno!E23+Sološnica!E23+Stupava!E23</f>
        <v>4860</v>
      </c>
      <c r="F23" s="149">
        <f>SUM(C23:E23)</f>
        <v>39023</v>
      </c>
      <c r="G23" s="21"/>
      <c r="H23" s="22" t="s">
        <v>19</v>
      </c>
      <c r="I23" s="131">
        <f>Šaštín!I23+Holíč!I23+'Mor. Ján'!I23+Lozorno!I23+Sološnica!I23+Stupava!I23</f>
        <v>12125</v>
      </c>
      <c r="J23" s="131">
        <f>Šaštín!J23+Holíč!J23+'Mor. Ján'!J23+Lozorno!J23+Sološnica!J23+Stupava!J23</f>
        <v>606</v>
      </c>
      <c r="K23" s="132">
        <f t="shared" si="3"/>
        <v>12731</v>
      </c>
      <c r="L23" s="24" t="s">
        <v>16</v>
      </c>
      <c r="N23" s="210" t="s">
        <v>11</v>
      </c>
      <c r="O23" s="131">
        <f>Šaštín!N23+Holíč!N23+'Mor. Ján'!N23+Lozorno!N23+Sološnica!N23+Stupava!N23</f>
        <v>6522</v>
      </c>
      <c r="P23" s="131">
        <f>Šaštín!O23+Holíč!O23+'Mor. Ján'!O23+Lozorno!O23+Sološnica!O23+Stupava!O23</f>
        <v>11557</v>
      </c>
      <c r="Q23" s="131">
        <f>Šaštín!P23+Holíč!P23+'Mor. Ján'!P23+Lozorno!P23+Sološnica!P23+Stupava!P23</f>
        <v>17745</v>
      </c>
      <c r="R23" s="131">
        <f>Šaštín!Q23+Holíč!Q23+'Mor. Ján'!Q23+Lozorno!Q23+Sološnica!Q23+Stupava!Q23</f>
        <v>24008</v>
      </c>
      <c r="S23" s="131">
        <f>Šaštín!R23+Holíč!R23+'Mor. Ján'!R23+Lozorno!R23+Sološnica!R23+Stupava!R23</f>
        <v>30662</v>
      </c>
      <c r="T23" s="131">
        <f>Šaštín!S23+Holíč!S23+'Mor. Ján'!S23+Lozorno!S23+Sološnica!S23+Stupava!S23</f>
        <v>39995</v>
      </c>
      <c r="U23" s="131">
        <f>Šaštín!T23+Holíč!T23+'Mor. Ján'!T23+Lozorno!T23+Sološnica!T23+Stupava!T23</f>
        <v>48800</v>
      </c>
      <c r="V23" s="131">
        <f>Šaštín!U23+Holíč!U23+'Mor. Ján'!U23+Lozorno!U23+Sološnica!U23+Stupava!U23</f>
        <v>57624</v>
      </c>
      <c r="W23" s="131">
        <f>Šaštín!V23+Holíč!V23+'Mor. Ján'!V23+Lozorno!V23+Sološnica!V23+Stupava!V23</f>
        <v>67047</v>
      </c>
      <c r="X23" s="131">
        <f>Šaštín!W23+Holíč!W23+'Mor. Ján'!W23+Lozorno!W23+Sološnica!W23+Stupava!W23</f>
        <v>76232</v>
      </c>
      <c r="Y23" s="131">
        <f>Šaštín!X23+Holíč!X23+'Mor. Ján'!X23+Lozorno!X23+Sološnica!X23+Stupava!X23</f>
        <v>0</v>
      </c>
      <c r="Z23" s="131">
        <f>Šaštín!Y23+Holíč!Y23+'Mor. Ján'!Y23+Lozorno!Y23+Sološnica!Y23+Stupava!Y23</f>
        <v>0</v>
      </c>
    </row>
    <row r="24" spans="1:26" ht="13.5" thickBot="1" x14ac:dyDescent="0.25">
      <c r="A24" s="16" t="s">
        <v>20</v>
      </c>
      <c r="B24" s="17" t="s">
        <v>18</v>
      </c>
      <c r="C24" s="131">
        <f>Šaštín!C24+Holíč!C24+'Mor. Ján'!C24+Lozorno!C24+Sološnica!C24+Stupava!C24</f>
        <v>984</v>
      </c>
      <c r="D24" s="131">
        <f>Šaštín!D24+Holíč!D24+'Mor. Ján'!D24+Lozorno!D24+Sološnica!D24+Stupava!D24</f>
        <v>813</v>
      </c>
      <c r="E24" s="131">
        <f>Šaštín!E24+Holíč!E24+'Mor. Ján'!E24+Lozorno!E24+Sološnica!E24+Stupava!E24</f>
        <v>500</v>
      </c>
      <c r="F24" s="149">
        <f>SUM(C24:E24)</f>
        <v>2297</v>
      </c>
      <c r="G24" s="21"/>
      <c r="H24" s="22" t="s">
        <v>21</v>
      </c>
      <c r="I24" s="131">
        <f>Šaštín!I24+Holíč!I24+'Mor. Ján'!I24+Lozorno!I24+Sološnica!I24+Stupava!I24</f>
        <v>5464</v>
      </c>
      <c r="J24" s="131">
        <f>Šaštín!J24+Holíč!J24+'Mor. Ján'!J24+Lozorno!J24+Sološnica!J24+Stupava!J24</f>
        <v>527</v>
      </c>
      <c r="K24" s="132">
        <f t="shared" si="3"/>
        <v>5991</v>
      </c>
      <c r="L24" s="24" t="s">
        <v>16</v>
      </c>
      <c r="N24" s="212" t="s">
        <v>12</v>
      </c>
      <c r="O24" s="131">
        <f>Šaštín!N24+Holíč!N24+'Mor. Ján'!N24+Lozorno!N24+Sološnica!N24+Stupava!N24</f>
        <v>1158</v>
      </c>
      <c r="P24" s="131">
        <f>Šaštín!O24+Holíč!O24+'Mor. Ján'!O24+Lozorno!O24+Sološnica!O24+Stupava!O24</f>
        <v>2861</v>
      </c>
      <c r="Q24" s="131">
        <f>Šaštín!P24+Holíč!P24+'Mor. Ján'!P24+Lozorno!P24+Sološnica!P24+Stupava!P24</f>
        <v>4193</v>
      </c>
      <c r="R24" s="131">
        <f>Šaštín!Q24+Holíč!Q24+'Mor. Ján'!Q24+Lozorno!Q24+Sološnica!Q24+Stupava!Q24</f>
        <v>5156</v>
      </c>
      <c r="S24" s="131">
        <f>Šaštín!R24+Holíč!R24+'Mor. Ján'!R24+Lozorno!R24+Sološnica!R24+Stupava!R24</f>
        <v>5718</v>
      </c>
      <c r="T24" s="131">
        <f>Šaštín!S24+Holíč!S24+'Mor. Ján'!S24+Lozorno!S24+Sološnica!S24+Stupava!S24</f>
        <v>6346</v>
      </c>
      <c r="U24" s="131">
        <f>Šaštín!T24+Holíč!T24+'Mor. Ján'!T24+Lozorno!T24+Sološnica!T24+Stupava!T24</f>
        <v>6625</v>
      </c>
      <c r="V24" s="131">
        <f>Šaštín!U24+Holíč!U24+'Mor. Ján'!U24+Lozorno!U24+Sološnica!U24+Stupava!U24</f>
        <v>7397</v>
      </c>
      <c r="W24" s="131">
        <f>Šaštín!V24+Holíč!V24+'Mor. Ján'!V24+Lozorno!V24+Sološnica!V24+Stupava!V24</f>
        <v>9197</v>
      </c>
      <c r="X24" s="131">
        <f>Šaštín!W24+Holíč!W24+'Mor. Ján'!W24+Lozorno!W24+Sološnica!W24+Stupava!W24</f>
        <v>9675</v>
      </c>
      <c r="Y24" s="131">
        <f>Šaštín!X24+Holíč!X24+'Mor. Ján'!X24+Lozorno!X24+Sološnica!X24+Stupava!X24</f>
        <v>0</v>
      </c>
      <c r="Z24" s="131">
        <f>Šaštín!Y24+Holíč!Y24+'Mor. Ján'!Y24+Lozorno!Y24+Sološnica!Y24+Stupava!Y24</f>
        <v>0</v>
      </c>
    </row>
    <row r="25" spans="1:26" ht="13.5" thickBot="1" x14ac:dyDescent="0.25">
      <c r="A25" s="289" t="s">
        <v>6</v>
      </c>
      <c r="B25" s="291" t="s">
        <v>22</v>
      </c>
      <c r="C25" s="299">
        <f>SUM(C23:C24)</f>
        <v>22680</v>
      </c>
      <c r="D25" s="301">
        <f>SUM(D23:D24)</f>
        <v>13280</v>
      </c>
      <c r="E25" s="301">
        <f>SUM(E23:E24)</f>
        <v>5360</v>
      </c>
      <c r="F25" s="303">
        <f>SUM(C25:E25)</f>
        <v>41320</v>
      </c>
      <c r="G25" s="25"/>
      <c r="H25" s="22" t="s">
        <v>23</v>
      </c>
      <c r="I25" s="132">
        <f>I26-I22-I23-I24</f>
        <v>8049</v>
      </c>
      <c r="J25" s="132">
        <f>J26-J22-J23-J24</f>
        <v>819</v>
      </c>
      <c r="K25" s="132">
        <f t="shared" si="3"/>
        <v>8868</v>
      </c>
      <c r="L25" s="27" t="s">
        <v>16</v>
      </c>
      <c r="N25" s="214" t="s">
        <v>78</v>
      </c>
      <c r="O25" s="171">
        <f>O23+O24</f>
        <v>7680</v>
      </c>
      <c r="P25" s="172">
        <f>P23+P24</f>
        <v>14418</v>
      </c>
      <c r="Q25" s="173">
        <f>SUM(Q23:Q24)</f>
        <v>21938</v>
      </c>
      <c r="R25" s="173">
        <f t="shared" ref="R25:Z25" si="4">SUM(R23:R24)</f>
        <v>29164</v>
      </c>
      <c r="S25" s="173">
        <f t="shared" si="4"/>
        <v>36380</v>
      </c>
      <c r="T25" s="173">
        <f t="shared" si="4"/>
        <v>46341</v>
      </c>
      <c r="U25" s="173">
        <f t="shared" si="4"/>
        <v>55425</v>
      </c>
      <c r="V25" s="173">
        <f t="shared" si="4"/>
        <v>65021</v>
      </c>
      <c r="W25" s="173">
        <f t="shared" si="4"/>
        <v>76244</v>
      </c>
      <c r="X25" s="173">
        <f t="shared" si="4"/>
        <v>85907</v>
      </c>
      <c r="Y25" s="173">
        <f t="shared" si="4"/>
        <v>0</v>
      </c>
      <c r="Z25" s="174">
        <f t="shared" si="4"/>
        <v>0</v>
      </c>
    </row>
    <row r="26" spans="1:26" ht="13.5" thickBot="1" x14ac:dyDescent="0.25">
      <c r="A26" s="290"/>
      <c r="B26" s="292"/>
      <c r="C26" s="300"/>
      <c r="D26" s="302"/>
      <c r="E26" s="302"/>
      <c r="F26" s="304"/>
      <c r="G26" s="25"/>
      <c r="H26" s="73" t="s">
        <v>24</v>
      </c>
      <c r="I26" s="137">
        <f>F23</f>
        <v>39023</v>
      </c>
      <c r="J26" s="137">
        <f>F24</f>
        <v>2297</v>
      </c>
      <c r="K26" s="137">
        <f t="shared" si="3"/>
        <v>41320</v>
      </c>
      <c r="L26" s="75" t="s">
        <v>16</v>
      </c>
    </row>
    <row r="27" spans="1:26" ht="13.5" thickBot="1" x14ac:dyDescent="0.25">
      <c r="A27" s="9"/>
      <c r="B27" s="10"/>
      <c r="C27" s="268" t="s">
        <v>32</v>
      </c>
      <c r="D27" s="268"/>
      <c r="E27" s="268"/>
      <c r="F27" s="269"/>
      <c r="G27" s="21"/>
      <c r="H27" s="12" t="s">
        <v>15</v>
      </c>
      <c r="I27" s="131">
        <f>Šaštín!I27+Holíč!I27+'Mor. Ján'!I27+Lozorno!I27+Sološnica!I27+Stupava!I27</f>
        <v>0</v>
      </c>
      <c r="J27" s="131">
        <f>Šaštín!J27+Holíč!J27+'Mor. Ján'!J27+Lozorno!J27+Sološnica!J27+Stupava!J27</f>
        <v>0</v>
      </c>
      <c r="K27" s="14">
        <f t="shared" si="3"/>
        <v>0</v>
      </c>
      <c r="L27" s="15" t="s">
        <v>16</v>
      </c>
      <c r="O27" s="341" t="s">
        <v>71</v>
      </c>
      <c r="P27" s="341"/>
      <c r="Q27" s="341"/>
      <c r="R27" s="341"/>
      <c r="S27" s="341"/>
      <c r="T27" s="341"/>
      <c r="U27" s="341"/>
      <c r="V27" s="341"/>
      <c r="W27" s="341"/>
      <c r="X27" s="341"/>
      <c r="Y27" s="341"/>
      <c r="Z27" s="341"/>
    </row>
    <row r="28" spans="1:26" x14ac:dyDescent="0.2">
      <c r="A28" s="16" t="s">
        <v>17</v>
      </c>
      <c r="B28" s="17" t="s">
        <v>18</v>
      </c>
      <c r="C28" s="131">
        <f>Šaštín!C28+Holíč!C28+'Mor. Ján'!C28+Lozorno!C28+Sološnica!C28+Stupava!C28</f>
        <v>600</v>
      </c>
      <c r="D28" s="131">
        <f>Šaštín!D28+Holíč!D28+'Mor. Ján'!D28+Lozorno!D28+Sološnica!D28+Stupava!D28</f>
        <v>0</v>
      </c>
      <c r="E28" s="131">
        <f>Šaštín!E28+Holíč!E28+'Mor. Ján'!E28+Lozorno!E28+Sološnica!E28+Stupava!E28</f>
        <v>0</v>
      </c>
      <c r="F28" s="20">
        <f>SUM(C28:E28)</f>
        <v>600</v>
      </c>
      <c r="G28" s="21"/>
      <c r="H28" s="22" t="s">
        <v>19</v>
      </c>
      <c r="I28" s="131">
        <f>Šaštín!I28+Holíč!I28+'Mor. Ján'!I28+Lozorno!I28+Sološnica!I28+Stupava!I28</f>
        <v>0</v>
      </c>
      <c r="J28" s="131">
        <f>Šaštín!J28+Holíč!J28+'Mor. Ján'!J28+Lozorno!J28+Sološnica!J28+Stupava!J28</f>
        <v>0</v>
      </c>
      <c r="K28" s="23">
        <f t="shared" si="3"/>
        <v>0</v>
      </c>
      <c r="L28" s="24" t="s">
        <v>16</v>
      </c>
      <c r="N28" s="210" t="s">
        <v>11</v>
      </c>
      <c r="O28" s="131">
        <f>Šaštín!N28+Holíč!N28+'Mor. Ján'!N28+Lozorno!N28+Sološnica!N28+Stupava!N28</f>
        <v>0</v>
      </c>
      <c r="P28" s="131">
        <f>Šaštín!O28+Holíč!O28+'Mor. Ján'!O28+Lozorno!O28+Sološnica!O28+Stupava!O28</f>
        <v>37</v>
      </c>
      <c r="Q28" s="131">
        <f>Šaštín!P28+Holíč!P28+'Mor. Ján'!P28+Lozorno!P28+Sološnica!P28+Stupava!P28</f>
        <v>287</v>
      </c>
      <c r="R28" s="131">
        <f>Šaštín!Q28+Holíč!Q28+'Mor. Ján'!Q28+Lozorno!Q28+Sološnica!Q28+Stupava!Q28</f>
        <v>301</v>
      </c>
      <c r="S28" s="131">
        <f>Šaštín!R28+Holíč!R28+'Mor. Ján'!R28+Lozorno!R28+Sološnica!R28+Stupava!R28</f>
        <v>321</v>
      </c>
      <c r="T28" s="131">
        <f>Šaštín!S28+Holíč!S28+'Mor. Ján'!S28+Lozorno!S28+Sološnica!S28+Stupava!S28</f>
        <v>391</v>
      </c>
      <c r="U28" s="131">
        <f>Šaštín!T28+Holíč!T28+'Mor. Ján'!T28+Lozorno!T28+Sološnica!T28+Stupava!T28</f>
        <v>391</v>
      </c>
      <c r="V28" s="131">
        <f>Šaštín!U28+Holíč!U28+'Mor. Ján'!U28+Lozorno!U28+Sološnica!U28+Stupava!U28</f>
        <v>397</v>
      </c>
      <c r="W28" s="131">
        <f>Šaštín!V28+Holíč!V28+'Mor. Ján'!V28+Lozorno!V28+Sološnica!V28+Stupava!V28</f>
        <v>397</v>
      </c>
      <c r="X28" s="131">
        <f>Šaštín!W28+Holíč!W28+'Mor. Ján'!W28+Lozorno!W28+Sološnica!W28+Stupava!W28</f>
        <v>397</v>
      </c>
      <c r="Y28" s="131">
        <f>Šaštín!X28+Holíč!X28+'Mor. Ján'!X28+Lozorno!X28+Sološnica!X28+Stupava!X28</f>
        <v>0</v>
      </c>
      <c r="Z28" s="131">
        <f>Šaštín!Y28+Holíč!Y28+'Mor. Ján'!Y28+Lozorno!Y28+Sološnica!Y28+Stupava!Y28</f>
        <v>0</v>
      </c>
    </row>
    <row r="29" spans="1:26" ht="13.5" thickBot="1" x14ac:dyDescent="0.25">
      <c r="A29" s="16" t="s">
        <v>20</v>
      </c>
      <c r="B29" s="17" t="s">
        <v>18</v>
      </c>
      <c r="C29" s="131">
        <f>Šaštín!C29+Holíč!C29+'Mor. Ján'!C29+Lozorno!C29+Sološnica!C29+Stupava!C29</f>
        <v>400</v>
      </c>
      <c r="D29" s="131">
        <f>Šaštín!D29+Holíč!D29+'Mor. Ján'!D29+Lozorno!D29+Sološnica!D29+Stupava!D29</f>
        <v>0</v>
      </c>
      <c r="E29" s="131">
        <f>Šaštín!E29+Holíč!E29+'Mor. Ján'!E29+Lozorno!E29+Sološnica!E29+Stupava!E29</f>
        <v>0</v>
      </c>
      <c r="F29" s="20">
        <f>SUM(C29:E29)</f>
        <v>400</v>
      </c>
      <c r="G29" s="21"/>
      <c r="H29" s="22" t="s">
        <v>21</v>
      </c>
      <c r="I29" s="131">
        <f>Šaštín!I29+Holíč!I29+'Mor. Ján'!I29+Lozorno!I29+Sološnica!I29+Stupava!I29</f>
        <v>0</v>
      </c>
      <c r="J29" s="131">
        <f>Šaštín!J29+Holíč!J29+'Mor. Ján'!J29+Lozorno!J29+Sološnica!J29+Stupava!J29</f>
        <v>0</v>
      </c>
      <c r="K29" s="23">
        <f t="shared" si="3"/>
        <v>0</v>
      </c>
      <c r="L29" s="24" t="s">
        <v>16</v>
      </c>
      <c r="N29" s="212" t="s">
        <v>12</v>
      </c>
      <c r="O29" s="131">
        <f>Šaštín!N29+Holíč!N29+'Mor. Ján'!N29+Lozorno!N29+Sološnica!N29+Stupava!N29</f>
        <v>0</v>
      </c>
      <c r="P29" s="131">
        <f>Šaštín!O29+Holíč!O29+'Mor. Ján'!O29+Lozorno!O29+Sološnica!O29+Stupava!O29</f>
        <v>0</v>
      </c>
      <c r="Q29" s="131">
        <f>Šaštín!P29+Holíč!P29+'Mor. Ján'!P29+Lozorno!P29+Sološnica!P29+Stupava!P29</f>
        <v>33</v>
      </c>
      <c r="R29" s="131">
        <f>Šaštín!Q29+Holíč!Q29+'Mor. Ján'!Q29+Lozorno!Q29+Sološnica!Q29+Stupava!Q29</f>
        <v>47</v>
      </c>
      <c r="S29" s="131">
        <f>Šaštín!R29+Holíč!R29+'Mor. Ján'!R29+Lozorno!R29+Sološnica!R29+Stupava!R29</f>
        <v>138</v>
      </c>
      <c r="T29" s="131">
        <f>Šaštín!S29+Holíč!S29+'Mor. Ján'!S29+Lozorno!S29+Sološnica!S29+Stupava!S29</f>
        <v>138</v>
      </c>
      <c r="U29" s="131">
        <f>Šaštín!T29+Holíč!T29+'Mor. Ján'!T29+Lozorno!T29+Sološnica!T29+Stupava!T29</f>
        <v>138</v>
      </c>
      <c r="V29" s="131">
        <f>Šaštín!U29+Holíč!U29+'Mor. Ján'!U29+Lozorno!U29+Sološnica!U29+Stupava!U29</f>
        <v>138</v>
      </c>
      <c r="W29" s="131">
        <f>Šaštín!V29+Holíč!V29+'Mor. Ján'!V29+Lozorno!V29+Sološnica!V29+Stupava!V29</f>
        <v>138</v>
      </c>
      <c r="X29" s="131">
        <f>Šaštín!W29+Holíč!W29+'Mor. Ján'!W29+Lozorno!W29+Sološnica!W29+Stupava!W29</f>
        <v>138</v>
      </c>
      <c r="Y29" s="131">
        <f>Šaštín!X29+Holíč!X29+'Mor. Ján'!X29+Lozorno!X29+Sološnica!X29+Stupava!X29</f>
        <v>0</v>
      </c>
      <c r="Z29" s="131">
        <f>Šaštín!Y29+Holíč!Y29+'Mor. Ján'!Y29+Lozorno!Y29+Sološnica!Y29+Stupava!Y29</f>
        <v>0</v>
      </c>
    </row>
    <row r="30" spans="1:26" ht="13.5" thickBot="1" x14ac:dyDescent="0.25">
      <c r="A30" s="305" t="s">
        <v>6</v>
      </c>
      <c r="B30" s="307" t="s">
        <v>22</v>
      </c>
      <c r="C30" s="309">
        <f>SUM(C28:C29)</f>
        <v>1000</v>
      </c>
      <c r="D30" s="311">
        <f>SUM(D28:D29)</f>
        <v>0</v>
      </c>
      <c r="E30" s="311">
        <f>SUM(E28:E29)</f>
        <v>0</v>
      </c>
      <c r="F30" s="313">
        <f>SUM(C30:E30)</f>
        <v>1000</v>
      </c>
      <c r="G30" s="21"/>
      <c r="H30" s="22" t="s">
        <v>23</v>
      </c>
      <c r="I30" s="23">
        <f>I31-I27-I28-I29</f>
        <v>600</v>
      </c>
      <c r="J30" s="23">
        <f>J31-J27-J28-J29</f>
        <v>400</v>
      </c>
      <c r="K30" s="23">
        <f t="shared" si="3"/>
        <v>1000</v>
      </c>
      <c r="L30" s="27" t="s">
        <v>16</v>
      </c>
      <c r="N30" s="214" t="s">
        <v>78</v>
      </c>
      <c r="O30" s="171">
        <f>O28+O29</f>
        <v>0</v>
      </c>
      <c r="P30" s="172">
        <f>P28+P29</f>
        <v>37</v>
      </c>
      <c r="Q30" s="173">
        <f>SUM(Q28:Q29)</f>
        <v>320</v>
      </c>
      <c r="R30" s="173">
        <f t="shared" ref="R30:Z30" si="5">SUM(R28:R29)</f>
        <v>348</v>
      </c>
      <c r="S30" s="173">
        <f t="shared" si="5"/>
        <v>459</v>
      </c>
      <c r="T30" s="173">
        <f t="shared" si="5"/>
        <v>529</v>
      </c>
      <c r="U30" s="173">
        <f t="shared" si="5"/>
        <v>529</v>
      </c>
      <c r="V30" s="173">
        <f t="shared" si="5"/>
        <v>535</v>
      </c>
      <c r="W30" s="173">
        <f t="shared" si="5"/>
        <v>535</v>
      </c>
      <c r="X30" s="173">
        <f t="shared" si="5"/>
        <v>535</v>
      </c>
      <c r="Y30" s="173">
        <f t="shared" si="5"/>
        <v>0</v>
      </c>
      <c r="Z30" s="174">
        <f t="shared" si="5"/>
        <v>0</v>
      </c>
    </row>
    <row r="31" spans="1:26" ht="13.5" thickBot="1" x14ac:dyDescent="0.25">
      <c r="A31" s="306"/>
      <c r="B31" s="308"/>
      <c r="C31" s="310"/>
      <c r="D31" s="312"/>
      <c r="E31" s="312"/>
      <c r="F31" s="314"/>
      <c r="G31" s="21"/>
      <c r="H31" s="73" t="s">
        <v>24</v>
      </c>
      <c r="I31" s="74">
        <f>F28</f>
        <v>600</v>
      </c>
      <c r="J31" s="74">
        <f>F29</f>
        <v>400</v>
      </c>
      <c r="K31" s="74">
        <f t="shared" si="3"/>
        <v>1000</v>
      </c>
      <c r="L31" s="75" t="s">
        <v>16</v>
      </c>
    </row>
    <row r="32" spans="1:26" ht="15.75" thickBot="1" x14ac:dyDescent="0.3">
      <c r="A32" s="9"/>
      <c r="B32" s="10"/>
      <c r="C32" s="268" t="s">
        <v>33</v>
      </c>
      <c r="D32" s="268"/>
      <c r="E32" s="268"/>
      <c r="F32" s="269"/>
      <c r="G32" s="21"/>
      <c r="H32" s="12" t="s">
        <v>15</v>
      </c>
      <c r="I32" s="128">
        <f t="shared" ref="I32:J35" si="6">SUM(I4,I10,I22,I27)</f>
        <v>20616</v>
      </c>
      <c r="J32" s="128">
        <f t="shared" si="6"/>
        <v>20883</v>
      </c>
      <c r="K32" s="128">
        <f t="shared" si="3"/>
        <v>41499</v>
      </c>
      <c r="L32" s="15" t="s">
        <v>16</v>
      </c>
      <c r="O32" s="343" t="s">
        <v>72</v>
      </c>
      <c r="P32" s="343"/>
      <c r="Q32" s="343"/>
      <c r="R32" s="343"/>
      <c r="S32" s="343"/>
      <c r="T32" s="343"/>
      <c r="U32" s="343"/>
      <c r="V32" s="343"/>
      <c r="W32" s="343"/>
      <c r="X32" s="343"/>
      <c r="Y32" s="343"/>
      <c r="Z32" s="343"/>
    </row>
    <row r="33" spans="1:26" x14ac:dyDescent="0.2">
      <c r="A33" s="77" t="s">
        <v>17</v>
      </c>
      <c r="B33" s="78" t="s">
        <v>18</v>
      </c>
      <c r="C33" s="141">
        <f t="shared" ref="C33:E34" si="7">SUM(C5,C10,C23,C28)</f>
        <v>39328</v>
      </c>
      <c r="D33" s="132">
        <f t="shared" si="7"/>
        <v>22829</v>
      </c>
      <c r="E33" s="132">
        <f t="shared" si="7"/>
        <v>7342</v>
      </c>
      <c r="F33" s="149">
        <f>SUM(C33:E33)</f>
        <v>69499</v>
      </c>
      <c r="G33" s="21"/>
      <c r="H33" s="22" t="s">
        <v>19</v>
      </c>
      <c r="I33" s="132">
        <f t="shared" si="6"/>
        <v>17657</v>
      </c>
      <c r="J33" s="132">
        <f t="shared" si="6"/>
        <v>18977</v>
      </c>
      <c r="K33" s="132">
        <f t="shared" si="3"/>
        <v>36634</v>
      </c>
      <c r="L33" s="24" t="s">
        <v>16</v>
      </c>
      <c r="N33" s="210" t="s">
        <v>11</v>
      </c>
      <c r="O33" s="217">
        <f>O5+O10+O23+O28</f>
        <v>7129</v>
      </c>
      <c r="P33" s="217">
        <f t="shared" ref="P33:Z34" si="8">P5+P10+P23+P28</f>
        <v>13037</v>
      </c>
      <c r="Q33" s="217">
        <f t="shared" si="8"/>
        <v>20228</v>
      </c>
      <c r="R33" s="217">
        <f t="shared" si="8"/>
        <v>26895</v>
      </c>
      <c r="S33" s="217">
        <f t="shared" si="8"/>
        <v>33975</v>
      </c>
      <c r="T33" s="217">
        <f t="shared" si="8"/>
        <v>43598</v>
      </c>
      <c r="U33" s="217">
        <f t="shared" si="8"/>
        <v>52608</v>
      </c>
      <c r="V33" s="217">
        <f t="shared" si="8"/>
        <v>61534</v>
      </c>
      <c r="W33" s="217">
        <f t="shared" si="8"/>
        <v>71119</v>
      </c>
      <c r="X33" s="217">
        <f t="shared" si="8"/>
        <v>80420</v>
      </c>
      <c r="Y33" s="217">
        <f t="shared" si="8"/>
        <v>0</v>
      </c>
      <c r="Z33" s="217">
        <f t="shared" si="8"/>
        <v>0</v>
      </c>
    </row>
    <row r="34" spans="1:26" ht="13.5" thickBot="1" x14ac:dyDescent="0.25">
      <c r="A34" s="77" t="s">
        <v>20</v>
      </c>
      <c r="B34" s="78" t="s">
        <v>18</v>
      </c>
      <c r="C34" s="141">
        <f t="shared" si="7"/>
        <v>67148</v>
      </c>
      <c r="D34" s="132">
        <f t="shared" si="7"/>
        <v>12252</v>
      </c>
      <c r="E34" s="132">
        <f t="shared" si="7"/>
        <v>1901</v>
      </c>
      <c r="F34" s="149">
        <f>SUM(C34:E34)</f>
        <v>81301</v>
      </c>
      <c r="G34" s="21"/>
      <c r="H34" s="22" t="s">
        <v>21</v>
      </c>
      <c r="I34" s="132">
        <f t="shared" si="6"/>
        <v>14322</v>
      </c>
      <c r="J34" s="132">
        <f t="shared" si="6"/>
        <v>19973</v>
      </c>
      <c r="K34" s="132">
        <f t="shared" si="3"/>
        <v>34295</v>
      </c>
      <c r="L34" s="24" t="s">
        <v>16</v>
      </c>
      <c r="N34" s="212" t="s">
        <v>12</v>
      </c>
      <c r="O34" s="218">
        <f>O6+O11+O24+O29</f>
        <v>4596</v>
      </c>
      <c r="P34" s="218">
        <f t="shared" si="8"/>
        <v>13259</v>
      </c>
      <c r="Q34" s="218">
        <f t="shared" si="8"/>
        <v>22776</v>
      </c>
      <c r="R34" s="218">
        <f t="shared" si="8"/>
        <v>30942</v>
      </c>
      <c r="S34" s="218">
        <f t="shared" si="8"/>
        <v>36318</v>
      </c>
      <c r="T34" s="218">
        <f t="shared" si="8"/>
        <v>40868</v>
      </c>
      <c r="U34" s="218">
        <f t="shared" si="8"/>
        <v>45172</v>
      </c>
      <c r="V34" s="218">
        <f t="shared" si="8"/>
        <v>51682</v>
      </c>
      <c r="W34" s="218">
        <f t="shared" si="8"/>
        <v>59567</v>
      </c>
      <c r="X34" s="218">
        <f t="shared" si="8"/>
        <v>67910</v>
      </c>
      <c r="Y34" s="218">
        <f t="shared" si="8"/>
        <v>0</v>
      </c>
      <c r="Z34" s="218">
        <f t="shared" si="8"/>
        <v>0</v>
      </c>
    </row>
    <row r="35" spans="1:26" ht="13.5" thickBot="1" x14ac:dyDescent="0.25">
      <c r="A35" s="289" t="s">
        <v>6</v>
      </c>
      <c r="B35" s="291" t="s">
        <v>22</v>
      </c>
      <c r="C35" s="299">
        <f>SUM(C33:C34)</f>
        <v>106476</v>
      </c>
      <c r="D35" s="301">
        <f>SUM(D33:D34)</f>
        <v>35081</v>
      </c>
      <c r="E35" s="301">
        <f>SUM(E33:E34)</f>
        <v>9243</v>
      </c>
      <c r="F35" s="303">
        <f>SUM(C35:E35)</f>
        <v>150800</v>
      </c>
      <c r="G35" s="25"/>
      <c r="H35" s="22" t="s">
        <v>23</v>
      </c>
      <c r="I35" s="132">
        <f t="shared" si="6"/>
        <v>16904</v>
      </c>
      <c r="J35" s="132">
        <f t="shared" si="6"/>
        <v>21468</v>
      </c>
      <c r="K35" s="132">
        <f t="shared" si="3"/>
        <v>38372</v>
      </c>
      <c r="L35" s="27" t="s">
        <v>16</v>
      </c>
      <c r="N35" s="214" t="s">
        <v>78</v>
      </c>
      <c r="O35" s="219">
        <f>O33+O34</f>
        <v>11725</v>
      </c>
      <c r="P35" s="219">
        <f t="shared" ref="P35:Z35" si="9">P33+P34</f>
        <v>26296</v>
      </c>
      <c r="Q35" s="219">
        <f t="shared" si="9"/>
        <v>43004</v>
      </c>
      <c r="R35" s="219">
        <f t="shared" si="9"/>
        <v>57837</v>
      </c>
      <c r="S35" s="219">
        <f t="shared" si="9"/>
        <v>70293</v>
      </c>
      <c r="T35" s="219">
        <f t="shared" si="9"/>
        <v>84466</v>
      </c>
      <c r="U35" s="219">
        <f t="shared" si="9"/>
        <v>97780</v>
      </c>
      <c r="V35" s="219">
        <f t="shared" si="9"/>
        <v>113216</v>
      </c>
      <c r="W35" s="219">
        <f t="shared" si="9"/>
        <v>130686</v>
      </c>
      <c r="X35" s="219">
        <f t="shared" si="9"/>
        <v>148330</v>
      </c>
      <c r="Y35" s="219">
        <f t="shared" si="9"/>
        <v>0</v>
      </c>
      <c r="Z35" s="219">
        <f t="shared" si="9"/>
        <v>0</v>
      </c>
    </row>
    <row r="36" spans="1:26" ht="13.5" thickBot="1" x14ac:dyDescent="0.25">
      <c r="A36" s="290"/>
      <c r="B36" s="292"/>
      <c r="C36" s="300"/>
      <c r="D36" s="302"/>
      <c r="E36" s="302"/>
      <c r="F36" s="304"/>
      <c r="G36" s="25"/>
      <c r="H36" s="73" t="s">
        <v>24</v>
      </c>
      <c r="I36" s="137">
        <f>SUM(I32:I35)</f>
        <v>69499</v>
      </c>
      <c r="J36" s="137">
        <f>SUM(J32:J35)</f>
        <v>81301</v>
      </c>
      <c r="K36" s="137">
        <f t="shared" si="3"/>
        <v>150800</v>
      </c>
      <c r="L36" s="75" t="s">
        <v>16</v>
      </c>
    </row>
    <row r="37" spans="1:26" ht="13.5" thickBot="1" x14ac:dyDescent="0.25">
      <c r="A37" s="9"/>
      <c r="B37" s="10"/>
      <c r="C37" s="268" t="s">
        <v>34</v>
      </c>
      <c r="D37" s="268"/>
      <c r="E37" s="268"/>
      <c r="F37" s="269"/>
      <c r="G37" s="21"/>
      <c r="H37" s="12" t="s">
        <v>15</v>
      </c>
      <c r="I37" s="131">
        <f>Šaštín!I37+Holíč!I37+'Mor. Ján'!I37+Lozorno!I37+Sološnica!I37+Stupava!I37</f>
        <v>651</v>
      </c>
      <c r="J37" s="131">
        <f>Šaštín!J37+Holíč!J37+'Mor. Ján'!J37+Lozorno!J37+Sološnica!J37+Stupava!J37</f>
        <v>737</v>
      </c>
      <c r="K37" s="14">
        <f t="shared" si="3"/>
        <v>1388</v>
      </c>
      <c r="L37" s="15" t="s">
        <v>16</v>
      </c>
      <c r="O37" s="341" t="s">
        <v>73</v>
      </c>
      <c r="P37" s="341"/>
      <c r="Q37" s="341"/>
      <c r="R37" s="341"/>
      <c r="S37" s="341"/>
      <c r="T37" s="341"/>
      <c r="U37" s="341"/>
      <c r="V37" s="341"/>
      <c r="W37" s="341"/>
      <c r="X37" s="341"/>
      <c r="Y37" s="341"/>
      <c r="Z37" s="341"/>
    </row>
    <row r="38" spans="1:26" x14ac:dyDescent="0.2">
      <c r="A38" s="16" t="s">
        <v>17</v>
      </c>
      <c r="B38" s="17" t="s">
        <v>18</v>
      </c>
      <c r="C38" s="131">
        <f>Šaštín!C38+Holíč!C38+'Mor. Ján'!C38+Lozorno!C38+Sološnica!C38+Stupava!C38</f>
        <v>1113</v>
      </c>
      <c r="D38" s="131">
        <f>Šaštín!D38+Holíč!D38+'Mor. Ján'!D38+Lozorno!D38+Sološnica!D38+Stupava!D38</f>
        <v>1337</v>
      </c>
      <c r="E38" s="131">
        <f>Šaštín!E38+Holíč!E38+'Mor. Ján'!E38+Lozorno!E38+Sološnica!E38+Stupava!E38</f>
        <v>200</v>
      </c>
      <c r="F38" s="20">
        <f>SUM(C38:E38)</f>
        <v>2650</v>
      </c>
      <c r="G38" s="21"/>
      <c r="H38" s="22" t="s">
        <v>19</v>
      </c>
      <c r="I38" s="131">
        <f>Šaštín!I38+Holíč!I38+'Mor. Ján'!I38+Lozorno!I38+Sološnica!I38+Stupava!I38</f>
        <v>607</v>
      </c>
      <c r="J38" s="131">
        <f>Šaštín!J38+Holíč!J38+'Mor. Ján'!J38+Lozorno!J38+Sološnica!J38+Stupava!J38</f>
        <v>1614</v>
      </c>
      <c r="K38" s="23">
        <f t="shared" si="3"/>
        <v>2221</v>
      </c>
      <c r="L38" s="24" t="s">
        <v>16</v>
      </c>
      <c r="N38" s="210" t="s">
        <v>11</v>
      </c>
      <c r="O38" s="131">
        <f>Šaštín!N38+Holíč!N38+'Mor. Ján'!N38+Lozorno!N38+Sološnica!N38+Stupava!N38</f>
        <v>43</v>
      </c>
      <c r="P38" s="131">
        <f>Šaštín!O38+Holíč!O38+'Mor. Ján'!O38+Lozorno!O38+Sološnica!O38+Stupava!O38</f>
        <v>261</v>
      </c>
      <c r="Q38" s="131">
        <f>Šaštín!P38+Holíč!P38+'Mor. Ján'!P38+Lozorno!P38+Sološnica!P38+Stupava!P38</f>
        <v>405</v>
      </c>
      <c r="R38" s="131">
        <f>Šaštín!Q38+Holíč!Q38+'Mor. Ján'!Q38+Lozorno!Q38+Sološnica!Q38+Stupava!Q38</f>
        <v>427</v>
      </c>
      <c r="S38" s="131">
        <f>Šaštín!R38+Holíč!R38+'Mor. Ján'!R38+Lozorno!R38+Sološnica!R38+Stupava!R38</f>
        <v>603</v>
      </c>
      <c r="T38" s="131">
        <f>Šaštín!S38+Holíč!S38+'Mor. Ján'!S38+Lozorno!S38+Sološnica!S38+Stupava!S38</f>
        <v>710</v>
      </c>
      <c r="U38" s="131">
        <f>Šaštín!T38+Holíč!T38+'Mor. Ján'!T38+Lozorno!T38+Sološnica!T38+Stupava!T38</f>
        <v>854</v>
      </c>
      <c r="V38" s="131">
        <f>Šaštín!U38+Holíč!U38+'Mor. Ján'!U38+Lozorno!U38+Sološnica!U38+Stupava!U38</f>
        <v>984</v>
      </c>
      <c r="W38" s="131">
        <f>Šaštín!V38+Holíč!V38+'Mor. Ján'!V38+Lozorno!V38+Sološnica!V38+Stupava!V38</f>
        <v>1245</v>
      </c>
      <c r="X38" s="131">
        <f>Šaštín!W38+Holíč!W38+'Mor. Ján'!W38+Lozorno!W38+Sološnica!W38+Stupava!W38</f>
        <v>1827</v>
      </c>
      <c r="Y38" s="131">
        <f>Šaštín!X38+Holíč!X38+'Mor. Ján'!X38+Lozorno!X38+Sološnica!X38+Stupava!X38</f>
        <v>0</v>
      </c>
      <c r="Z38" s="131">
        <f>Šaštín!Y38+Holíč!Y38+'Mor. Ján'!Y38+Lozorno!Y38+Sološnica!Y38+Stupava!Y38</f>
        <v>0</v>
      </c>
    </row>
    <row r="39" spans="1:26" ht="13.5" thickBot="1" x14ac:dyDescent="0.25">
      <c r="A39" s="16" t="s">
        <v>20</v>
      </c>
      <c r="B39" s="17" t="s">
        <v>18</v>
      </c>
      <c r="C39" s="131">
        <f>Šaštín!C39+Holíč!C39+'Mor. Ján'!C39+Lozorno!C39+Sološnica!C39+Stupava!C39</f>
        <v>3700</v>
      </c>
      <c r="D39" s="131">
        <f>Šaštín!D39+Holíč!D39+'Mor. Ján'!D39+Lozorno!D39+Sološnica!D39+Stupava!D39</f>
        <v>660</v>
      </c>
      <c r="E39" s="131">
        <f>Šaštín!E39+Holíč!E39+'Mor. Ján'!E39+Lozorno!E39+Sološnica!E39+Stupava!E39</f>
        <v>500</v>
      </c>
      <c r="F39" s="20">
        <f>SUM(C39:E39)</f>
        <v>4860</v>
      </c>
      <c r="G39" s="21"/>
      <c r="H39" s="22" t="s">
        <v>21</v>
      </c>
      <c r="I39" s="131">
        <f>Šaštín!I39+Holíč!I39+'Mor. Ján'!I39+Lozorno!I39+Sološnica!I39+Stupava!I39</f>
        <v>562</v>
      </c>
      <c r="J39" s="131">
        <f>Šaštín!J39+Holíč!J39+'Mor. Ján'!J39+Lozorno!J39+Sološnica!J39+Stupava!J39</f>
        <v>1418</v>
      </c>
      <c r="K39" s="23">
        <f t="shared" si="3"/>
        <v>1980</v>
      </c>
      <c r="L39" s="24" t="s">
        <v>16</v>
      </c>
      <c r="N39" s="212" t="s">
        <v>12</v>
      </c>
      <c r="O39" s="131">
        <f>Šaštín!N39+Holíč!N39+'Mor. Ján'!N39+Lozorno!N39+Sološnica!N39+Stupava!N39</f>
        <v>56</v>
      </c>
      <c r="P39" s="131">
        <f>Šaštín!O39+Holíč!O39+'Mor. Ján'!O39+Lozorno!O39+Sološnica!O39+Stupava!O39</f>
        <v>316</v>
      </c>
      <c r="Q39" s="131">
        <f>Šaštín!P39+Holíč!P39+'Mor. Ján'!P39+Lozorno!P39+Sološnica!P39+Stupava!P39</f>
        <v>558</v>
      </c>
      <c r="R39" s="131">
        <f>Šaštín!Q39+Holíč!Q39+'Mor. Ján'!Q39+Lozorno!Q39+Sološnica!Q39+Stupava!Q39</f>
        <v>910</v>
      </c>
      <c r="S39" s="131">
        <f>Šaštín!R39+Holíč!R39+'Mor. Ján'!R39+Lozorno!R39+Sološnica!R39+Stupava!R39</f>
        <v>1457</v>
      </c>
      <c r="T39" s="131">
        <f>Šaštín!S39+Holíč!S39+'Mor. Ján'!S39+Lozorno!S39+Sološnica!S39+Stupava!S39</f>
        <v>1847</v>
      </c>
      <c r="U39" s="131">
        <f>Šaštín!T39+Holíč!T39+'Mor. Ján'!T39+Lozorno!T39+Sološnica!T39+Stupava!T39</f>
        <v>2243</v>
      </c>
      <c r="V39" s="131">
        <f>Šaštín!U39+Holíč!U39+'Mor. Ján'!U39+Lozorno!U39+Sološnica!U39+Stupava!U39</f>
        <v>2587</v>
      </c>
      <c r="W39" s="131">
        <f>Šaštín!V39+Holíč!V39+'Mor. Ján'!V39+Lozorno!V39+Sološnica!V39+Stupava!V39</f>
        <v>2860</v>
      </c>
      <c r="X39" s="131">
        <f>Šaštín!W39+Holíč!W39+'Mor. Ján'!W39+Lozorno!W39+Sološnica!W39+Stupava!W39</f>
        <v>3409</v>
      </c>
      <c r="Y39" s="131">
        <f>Šaštín!X39+Holíč!X39+'Mor. Ján'!X39+Lozorno!X39+Sološnica!X39+Stupava!X39</f>
        <v>0</v>
      </c>
      <c r="Z39" s="131">
        <f>Šaštín!Y39+Holíč!Y39+'Mor. Ján'!Y39+Lozorno!Y39+Sološnica!Y39+Stupava!Y39</f>
        <v>0</v>
      </c>
    </row>
    <row r="40" spans="1:26" ht="13.5" thickBot="1" x14ac:dyDescent="0.25">
      <c r="A40" s="289" t="s">
        <v>6</v>
      </c>
      <c r="B40" s="291" t="s">
        <v>22</v>
      </c>
      <c r="C40" s="293">
        <f>SUM(C38:C39)</f>
        <v>4813</v>
      </c>
      <c r="D40" s="295">
        <f>SUM(D38:D39)</f>
        <v>1997</v>
      </c>
      <c r="E40" s="295">
        <f>SUM(E38:E39)</f>
        <v>700</v>
      </c>
      <c r="F40" s="297">
        <f>SUM(C40:E40)</f>
        <v>7510</v>
      </c>
      <c r="G40" s="25"/>
      <c r="H40" s="22" t="s">
        <v>23</v>
      </c>
      <c r="I40" s="23">
        <f>I41-I37-I38-I39</f>
        <v>830</v>
      </c>
      <c r="J40" s="23">
        <f>J41-J37-J38-J39</f>
        <v>1091</v>
      </c>
      <c r="K40" s="23">
        <f t="shared" si="3"/>
        <v>1921</v>
      </c>
      <c r="L40" s="27" t="s">
        <v>16</v>
      </c>
      <c r="N40" s="214" t="s">
        <v>78</v>
      </c>
      <c r="O40" s="171">
        <f>O38+O39</f>
        <v>99</v>
      </c>
      <c r="P40" s="172">
        <f>P38+P39</f>
        <v>577</v>
      </c>
      <c r="Q40" s="173">
        <f>SUM(Q38:Q39)</f>
        <v>963</v>
      </c>
      <c r="R40" s="173">
        <f t="shared" ref="R40:Z40" si="10">SUM(R38:R39)</f>
        <v>1337</v>
      </c>
      <c r="S40" s="173">
        <f t="shared" si="10"/>
        <v>2060</v>
      </c>
      <c r="T40" s="173">
        <f t="shared" si="10"/>
        <v>2557</v>
      </c>
      <c r="U40" s="173">
        <f t="shared" si="10"/>
        <v>3097</v>
      </c>
      <c r="V40" s="173">
        <f t="shared" si="10"/>
        <v>3571</v>
      </c>
      <c r="W40" s="173">
        <f t="shared" si="10"/>
        <v>4105</v>
      </c>
      <c r="X40" s="173">
        <f t="shared" si="10"/>
        <v>5236</v>
      </c>
      <c r="Y40" s="173">
        <f t="shared" si="10"/>
        <v>0</v>
      </c>
      <c r="Z40" s="174">
        <f t="shared" si="10"/>
        <v>0</v>
      </c>
    </row>
    <row r="41" spans="1:26" ht="13.5" thickBot="1" x14ac:dyDescent="0.25">
      <c r="A41" s="290"/>
      <c r="B41" s="292"/>
      <c r="C41" s="294"/>
      <c r="D41" s="296"/>
      <c r="E41" s="296"/>
      <c r="F41" s="298"/>
      <c r="G41" s="25"/>
      <c r="H41" s="73" t="s">
        <v>24</v>
      </c>
      <c r="I41" s="74">
        <f>F38+F43</f>
        <v>2650</v>
      </c>
      <c r="J41" s="74">
        <f>F39+F44</f>
        <v>4860</v>
      </c>
      <c r="K41" s="74">
        <f t="shared" si="3"/>
        <v>7510</v>
      </c>
      <c r="L41" s="75" t="s">
        <v>16</v>
      </c>
    </row>
    <row r="42" spans="1:26" ht="13.5" thickBot="1" x14ac:dyDescent="0.25">
      <c r="A42" s="9"/>
      <c r="B42" s="10"/>
      <c r="C42" s="268" t="s">
        <v>35</v>
      </c>
      <c r="D42" s="268"/>
      <c r="E42" s="268"/>
      <c r="F42" s="269"/>
      <c r="G42" s="21"/>
      <c r="H42" s="80"/>
      <c r="I42" s="81"/>
      <c r="J42" s="81"/>
      <c r="K42" s="82"/>
      <c r="L42" s="82"/>
      <c r="O42" s="344" t="s">
        <v>79</v>
      </c>
      <c r="P42" s="344"/>
      <c r="Q42" s="344"/>
      <c r="R42" s="344"/>
      <c r="S42" s="344"/>
      <c r="T42" s="344"/>
      <c r="U42" s="344"/>
      <c r="V42" s="344"/>
      <c r="W42" s="344"/>
      <c r="X42" s="344"/>
      <c r="Y42" s="344"/>
      <c r="Z42" s="344"/>
    </row>
    <row r="43" spans="1:26" ht="19.149999999999999" customHeight="1" x14ac:dyDescent="0.2">
      <c r="A43" s="16" t="s">
        <v>17</v>
      </c>
      <c r="B43" s="17" t="s">
        <v>18</v>
      </c>
      <c r="C43" s="131">
        <f>Šaštín!C43+Holíč!C43+'Mor. Ján'!C43+Lozorno!C43+Sološnica!C43+Stupava!C43</f>
        <v>0</v>
      </c>
      <c r="D43" s="131">
        <f>Šaštín!D43+Holíč!D43+'Mor. Ján'!D43+Lozorno!D43+Sološnica!D43+Stupava!D43</f>
        <v>0</v>
      </c>
      <c r="E43" s="131">
        <f>Šaštín!E43+Holíč!E43+'Mor. Ján'!E43+Lozorno!E43+Sološnica!E43+Stupava!E43</f>
        <v>0</v>
      </c>
      <c r="F43" s="20">
        <f t="shared" ref="F43:F48" si="11">SUM(C43:E43)</f>
        <v>0</v>
      </c>
      <c r="G43" s="21"/>
      <c r="H43" s="285" t="s">
        <v>36</v>
      </c>
      <c r="I43" s="268"/>
      <c r="J43" s="268"/>
      <c r="K43" s="268"/>
      <c r="L43" s="269"/>
      <c r="N43" s="210" t="s">
        <v>11</v>
      </c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</row>
    <row r="44" spans="1:26" ht="13.9" customHeight="1" thickBot="1" x14ac:dyDescent="0.25">
      <c r="A44" s="16" t="s">
        <v>20</v>
      </c>
      <c r="B44" s="17" t="s">
        <v>18</v>
      </c>
      <c r="C44" s="131">
        <f>Šaštín!C44+Holíč!C44+'Mor. Ján'!C44+Lozorno!C44+Sološnica!C44+Stupava!C44</f>
        <v>0</v>
      </c>
      <c r="D44" s="131">
        <f>Šaštín!D44+Holíč!D44+'Mor. Ján'!D44+Lozorno!D44+Sološnica!D44+Stupava!D44</f>
        <v>0</v>
      </c>
      <c r="E44" s="131">
        <f>Šaštín!E44+Holíč!E44+'Mor. Ján'!E44+Lozorno!E44+Sološnica!E44+Stupava!E44</f>
        <v>0</v>
      </c>
      <c r="F44" s="20">
        <f t="shared" si="11"/>
        <v>0</v>
      </c>
      <c r="G44" s="21"/>
      <c r="H44" s="22" t="s">
        <v>15</v>
      </c>
      <c r="I44" s="132">
        <f t="shared" ref="I44:J46" si="12">I32-I37</f>
        <v>19965</v>
      </c>
      <c r="J44" s="132">
        <f>J32-J37</f>
        <v>20146</v>
      </c>
      <c r="K44" s="132">
        <f>SUM(I44:J44)</f>
        <v>40111</v>
      </c>
      <c r="L44" s="83" t="s">
        <v>16</v>
      </c>
      <c r="N44" s="212" t="s">
        <v>12</v>
      </c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</row>
    <row r="45" spans="1:26" ht="13.9" customHeight="1" thickBot="1" x14ac:dyDescent="0.25">
      <c r="A45" s="84" t="s">
        <v>6</v>
      </c>
      <c r="B45" s="85" t="s">
        <v>22</v>
      </c>
      <c r="C45" s="86">
        <f>SUM(C43:C44)</f>
        <v>0</v>
      </c>
      <c r="D45" s="74">
        <f>SUM(D43:D44)</f>
        <v>0</v>
      </c>
      <c r="E45" s="74">
        <f>SUM(E43:E44)</f>
        <v>0</v>
      </c>
      <c r="F45" s="69">
        <f t="shared" si="11"/>
        <v>0</v>
      </c>
      <c r="G45" s="21"/>
      <c r="H45" s="22" t="s">
        <v>19</v>
      </c>
      <c r="I45" s="132">
        <f t="shared" si="12"/>
        <v>17050</v>
      </c>
      <c r="J45" s="132">
        <f t="shared" si="12"/>
        <v>17363</v>
      </c>
      <c r="K45" s="132">
        <f>SUM(I45:J45)</f>
        <v>34413</v>
      </c>
      <c r="L45" s="27" t="s">
        <v>16</v>
      </c>
      <c r="N45" s="214" t="s">
        <v>78</v>
      </c>
      <c r="O45" s="171">
        <f>O43+O44</f>
        <v>0</v>
      </c>
      <c r="P45" s="172">
        <f>P43+P44</f>
        <v>0</v>
      </c>
      <c r="Q45" s="173">
        <f>SUM(Q43:Q44)</f>
        <v>0</v>
      </c>
      <c r="R45" s="173">
        <f t="shared" ref="R45:Z45" si="13">SUM(R43:R44)</f>
        <v>0</v>
      </c>
      <c r="S45" s="173">
        <f t="shared" si="13"/>
        <v>0</v>
      </c>
      <c r="T45" s="173">
        <f t="shared" si="13"/>
        <v>0</v>
      </c>
      <c r="U45" s="173">
        <f t="shared" si="13"/>
        <v>0</v>
      </c>
      <c r="V45" s="173">
        <f t="shared" si="13"/>
        <v>0</v>
      </c>
      <c r="W45" s="173">
        <f t="shared" si="13"/>
        <v>0</v>
      </c>
      <c r="X45" s="173">
        <f t="shared" si="13"/>
        <v>0</v>
      </c>
      <c r="Y45" s="173">
        <f t="shared" si="13"/>
        <v>0</v>
      </c>
      <c r="Z45" s="174">
        <f t="shared" si="13"/>
        <v>0</v>
      </c>
    </row>
    <row r="46" spans="1:26" ht="13.9" customHeight="1" x14ac:dyDescent="0.2">
      <c r="A46" s="87" t="s">
        <v>37</v>
      </c>
      <c r="B46" s="88" t="s">
        <v>13</v>
      </c>
      <c r="C46" s="131">
        <f>Šaštín!C46+Holíč!C46+'Mor. Ján'!C46+Lozorno!C46+Sološnica!C46+Stupava!C46</f>
        <v>142.56</v>
      </c>
      <c r="D46" s="131">
        <f>Šaštín!D46+Holíč!D46+'Mor. Ján'!D46+Lozorno!D46+Sološnica!D46+Stupava!D46</f>
        <v>166.92</v>
      </c>
      <c r="E46" s="131">
        <f>Šaštín!E46+Holíč!E46+'Mor. Ján'!E46+Lozorno!E46+Sološnica!E46+Stupava!E46</f>
        <v>12.36</v>
      </c>
      <c r="F46" s="163">
        <f t="shared" si="11"/>
        <v>321.84000000000003</v>
      </c>
      <c r="G46" s="21"/>
      <c r="H46" s="22" t="s">
        <v>21</v>
      </c>
      <c r="I46" s="132">
        <f t="shared" si="12"/>
        <v>13760</v>
      </c>
      <c r="J46" s="132">
        <f t="shared" si="12"/>
        <v>18555</v>
      </c>
      <c r="K46" s="132">
        <f>SUM(I46:J46)</f>
        <v>32315</v>
      </c>
      <c r="L46" s="27" t="s">
        <v>16</v>
      </c>
    </row>
    <row r="47" spans="1:26" ht="13.9" customHeight="1" thickBot="1" x14ac:dyDescent="0.25">
      <c r="A47" s="91" t="s">
        <v>38</v>
      </c>
      <c r="B47" s="92" t="s">
        <v>13</v>
      </c>
      <c r="C47" s="131">
        <f>Šaštín!C47+Holíč!C47+'Mor. Ján'!C47+Lozorno!C47+Sološnica!C47+Stupava!C47</f>
        <v>9.4700000000000006</v>
      </c>
      <c r="D47" s="131">
        <f>Šaštín!D47+Holíč!D47+'Mor. Ján'!D47+Lozorno!D47+Sološnica!D47+Stupava!D47</f>
        <v>33.119999999999997</v>
      </c>
      <c r="E47" s="131">
        <f>Šaštín!E47+Holíč!E47+'Mor. Ján'!E47+Lozorno!E47+Sološnica!E47+Stupava!E47</f>
        <v>0.75</v>
      </c>
      <c r="F47" s="149">
        <f t="shared" si="11"/>
        <v>43.339999999999996</v>
      </c>
      <c r="G47" s="21"/>
      <c r="H47" s="22" t="s">
        <v>23</v>
      </c>
      <c r="I47" s="132">
        <f>I48-I44-I45-I46</f>
        <v>16074</v>
      </c>
      <c r="J47" s="132">
        <f>J48-J44-J45-J46</f>
        <v>20377</v>
      </c>
      <c r="K47" s="132">
        <f>SUM(I47:J47)</f>
        <v>36451</v>
      </c>
      <c r="L47" s="27" t="s">
        <v>16</v>
      </c>
      <c r="O47" s="345" t="s">
        <v>80</v>
      </c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</row>
    <row r="48" spans="1:26" ht="13.9" customHeight="1" thickBot="1" x14ac:dyDescent="0.25">
      <c r="A48" s="93" t="s">
        <v>39</v>
      </c>
      <c r="B48" s="94" t="s">
        <v>13</v>
      </c>
      <c r="C48" s="131">
        <f>Šaštín!C48+Holíč!C48+'Mor. Ján'!C48+Lozorno!C48+Sološnica!C48+Stupava!C48</f>
        <v>381.64</v>
      </c>
      <c r="D48" s="131">
        <f>Šaštín!D48+Holíč!D48+'Mor. Ján'!D48+Lozorno!D48+Sološnica!D48+Stupava!D48</f>
        <v>134.63</v>
      </c>
      <c r="E48" s="131">
        <f>Šaštín!E48+Holíč!E48+'Mor. Ján'!E48+Lozorno!E48+Sološnica!E48+Stupava!E48</f>
        <v>9.44</v>
      </c>
      <c r="F48" s="164">
        <f t="shared" si="11"/>
        <v>525.71</v>
      </c>
      <c r="G48" s="21"/>
      <c r="H48" s="73" t="s">
        <v>24</v>
      </c>
      <c r="I48" s="137">
        <f>I36-I41</f>
        <v>66849</v>
      </c>
      <c r="J48" s="137">
        <f>J36-J41</f>
        <v>76441</v>
      </c>
      <c r="K48" s="137">
        <f>SUM(I48:J48)</f>
        <v>143290</v>
      </c>
      <c r="L48" s="75" t="s">
        <v>16</v>
      </c>
      <c r="N48" s="210" t="s">
        <v>11</v>
      </c>
      <c r="O48" s="175">
        <f t="shared" ref="O48:V49" si="14">O33-O38</f>
        <v>7086</v>
      </c>
      <c r="P48" s="175">
        <f t="shared" si="14"/>
        <v>12776</v>
      </c>
      <c r="Q48" s="175">
        <f t="shared" si="14"/>
        <v>19823</v>
      </c>
      <c r="R48" s="175">
        <f t="shared" si="14"/>
        <v>26468</v>
      </c>
      <c r="S48" s="175">
        <f t="shared" si="14"/>
        <v>33372</v>
      </c>
      <c r="T48" s="175">
        <f t="shared" si="14"/>
        <v>42888</v>
      </c>
      <c r="U48" s="175">
        <f t="shared" si="14"/>
        <v>51754</v>
      </c>
      <c r="V48" s="175">
        <f t="shared" si="14"/>
        <v>60550</v>
      </c>
      <c r="W48" s="175">
        <f>W33-W38-W43</f>
        <v>69874</v>
      </c>
      <c r="X48" s="175">
        <f t="shared" ref="X48:Z49" si="15">X33-X38</f>
        <v>78593</v>
      </c>
      <c r="Y48" s="175">
        <f t="shared" si="15"/>
        <v>0</v>
      </c>
      <c r="Z48" s="175">
        <f t="shared" si="15"/>
        <v>0</v>
      </c>
    </row>
    <row r="49" spans="1:26" ht="13.9" customHeight="1" thickBot="1" x14ac:dyDescent="0.25">
      <c r="A49" s="130" t="s">
        <v>100</v>
      </c>
      <c r="B49" s="130"/>
      <c r="C49" s="130"/>
      <c r="D49" s="130"/>
      <c r="E49" s="130"/>
      <c r="F49" s="130"/>
      <c r="G49" s="81"/>
      <c r="H49" s="80"/>
      <c r="I49" s="81"/>
      <c r="J49" s="81"/>
      <c r="K49" s="82"/>
      <c r="L49" s="82"/>
      <c r="N49" s="212" t="s">
        <v>12</v>
      </c>
      <c r="O49" s="176">
        <f t="shared" si="14"/>
        <v>4540</v>
      </c>
      <c r="P49" s="176">
        <f t="shared" si="14"/>
        <v>12943</v>
      </c>
      <c r="Q49" s="176">
        <f t="shared" si="14"/>
        <v>22218</v>
      </c>
      <c r="R49" s="176">
        <f t="shared" si="14"/>
        <v>30032</v>
      </c>
      <c r="S49" s="176">
        <f t="shared" si="14"/>
        <v>34861</v>
      </c>
      <c r="T49" s="176">
        <f t="shared" si="14"/>
        <v>39021</v>
      </c>
      <c r="U49" s="176">
        <f t="shared" si="14"/>
        <v>42929</v>
      </c>
      <c r="V49" s="176">
        <f t="shared" si="14"/>
        <v>49095</v>
      </c>
      <c r="W49" s="176">
        <f>W34-W39-W44</f>
        <v>56707</v>
      </c>
      <c r="X49" s="176">
        <f t="shared" si="15"/>
        <v>64501</v>
      </c>
      <c r="Y49" s="176">
        <f t="shared" si="15"/>
        <v>0</v>
      </c>
      <c r="Z49" s="176">
        <f t="shared" si="15"/>
        <v>0</v>
      </c>
    </row>
    <row r="50" spans="1:26" ht="13.9" customHeight="1" thickBot="1" x14ac:dyDescent="0.25">
      <c r="A50" s="9"/>
      <c r="B50" s="10"/>
      <c r="C50" s="268" t="s">
        <v>14</v>
      </c>
      <c r="D50" s="268"/>
      <c r="E50" s="268"/>
      <c r="F50" s="269"/>
      <c r="G50" s="95"/>
      <c r="H50" s="96" t="s">
        <v>40</v>
      </c>
      <c r="I50" s="286" t="s">
        <v>41</v>
      </c>
      <c r="J50" s="286"/>
      <c r="K50" s="287" t="s">
        <v>42</v>
      </c>
      <c r="L50" s="288"/>
      <c r="N50" s="214" t="s">
        <v>78</v>
      </c>
      <c r="O50" s="177">
        <f>O48+O49</f>
        <v>11626</v>
      </c>
      <c r="P50" s="177">
        <f t="shared" ref="P50:Z50" si="16">P48+P49</f>
        <v>25719</v>
      </c>
      <c r="Q50" s="177">
        <f t="shared" si="16"/>
        <v>42041</v>
      </c>
      <c r="R50" s="177">
        <f t="shared" si="16"/>
        <v>56500</v>
      </c>
      <c r="S50" s="177">
        <f t="shared" si="16"/>
        <v>68233</v>
      </c>
      <c r="T50" s="177">
        <f t="shared" si="16"/>
        <v>81909</v>
      </c>
      <c r="U50" s="177">
        <f t="shared" si="16"/>
        <v>94683</v>
      </c>
      <c r="V50" s="177">
        <f t="shared" si="16"/>
        <v>109645</v>
      </c>
      <c r="W50" s="177">
        <f t="shared" si="16"/>
        <v>126581</v>
      </c>
      <c r="X50" s="177">
        <f t="shared" si="16"/>
        <v>143094</v>
      </c>
      <c r="Y50" s="177">
        <f t="shared" si="16"/>
        <v>0</v>
      </c>
      <c r="Z50" s="177">
        <f t="shared" si="16"/>
        <v>0</v>
      </c>
    </row>
    <row r="51" spans="1:26" ht="14.25" x14ac:dyDescent="0.2">
      <c r="A51" s="16" t="s">
        <v>17</v>
      </c>
      <c r="B51" s="92" t="s">
        <v>43</v>
      </c>
      <c r="C51" s="131">
        <f>Šaštín!C51+Holíč!C51+'Mor. Ján'!C51+Lozorno!C51+Sološnica!C51+Stupava!C51</f>
        <v>21755</v>
      </c>
      <c r="D51" s="131">
        <f>Šaštín!D51+Holíč!D51+'Mor. Ján'!D51+Lozorno!D51+Sološnica!D51+Stupava!D51</f>
        <v>8992</v>
      </c>
      <c r="E51" s="131">
        <f>Šaštín!E51+Holíč!E51+'Mor. Ján'!E51+Lozorno!E51+Sološnica!E51+Stupava!E51</f>
        <v>4823</v>
      </c>
      <c r="F51" s="135">
        <f>SUM(C51:E51)</f>
        <v>35570</v>
      </c>
      <c r="G51" s="95"/>
      <c r="H51" s="22" t="s">
        <v>15</v>
      </c>
      <c r="I51" s="280">
        <f>Šaštín!I51+Holíč!I51+'Mor. Ján'!I51+Lozorno!I51+Sološnica!I51+Stupava!I51</f>
        <v>81.64</v>
      </c>
      <c r="J51" s="282"/>
      <c r="K51" s="280">
        <f>Šaštín!K51+Holíč!K51+'Mor. Ján'!K51+Lozorno!K51+Sološnica!K51+Stupava!K51</f>
        <v>0.44</v>
      </c>
      <c r="L51" s="282"/>
    </row>
    <row r="52" spans="1:26" ht="14.25" x14ac:dyDescent="0.2">
      <c r="A52" s="16" t="s">
        <v>20</v>
      </c>
      <c r="B52" s="92" t="s">
        <v>43</v>
      </c>
      <c r="C52" s="131">
        <f>Šaštín!C52+Holíč!C52+'Mor. Ján'!C52+Lozorno!C52+Sološnica!C52+Stupava!C52</f>
        <v>42942</v>
      </c>
      <c r="D52" s="131">
        <f>Šaštín!D52+Holíč!D52+'Mor. Ján'!D52+Lozorno!D52+Sološnica!D52+Stupava!D52</f>
        <v>5600</v>
      </c>
      <c r="E52" s="131">
        <f>Šaštín!E52+Holíč!E52+'Mor. Ján'!E52+Lozorno!E52+Sološnica!E52+Stupava!E52</f>
        <v>1747</v>
      </c>
      <c r="F52" s="135">
        <f>SUM(C52:E52)</f>
        <v>50289</v>
      </c>
      <c r="G52" s="95"/>
      <c r="H52" s="22" t="s">
        <v>19</v>
      </c>
      <c r="I52" s="280">
        <f>Šaštín!I52+Holíč!I52+'Mor. Ján'!I52+Lozorno!I52+Sološnica!I52+Stupava!I52</f>
        <v>155.88999999999999</v>
      </c>
      <c r="J52" s="282"/>
      <c r="K52" s="280">
        <f>Šaštín!K52+Holíč!K52+'Mor. Ján'!K52+Lozorno!K52+Sološnica!K52+Stupava!K52</f>
        <v>0.86</v>
      </c>
      <c r="L52" s="282"/>
    </row>
    <row r="53" spans="1:26" ht="18" thickBot="1" x14ac:dyDescent="0.25">
      <c r="A53" s="97" t="s">
        <v>6</v>
      </c>
      <c r="B53" s="98" t="s">
        <v>43</v>
      </c>
      <c r="C53" s="138">
        <f>SUM(C51:C52)</f>
        <v>64697</v>
      </c>
      <c r="D53" s="139">
        <f>SUM(D51:D52)</f>
        <v>14592</v>
      </c>
      <c r="E53" s="139">
        <f>SUM(E51:E52)</f>
        <v>6570</v>
      </c>
      <c r="F53" s="140">
        <f>SUM(C53:E53)</f>
        <v>85859</v>
      </c>
      <c r="G53" s="102"/>
      <c r="H53" s="22" t="s">
        <v>21</v>
      </c>
      <c r="I53" s="280">
        <f>Šaštín!I53+Holíč!I53+'Mor. Ján'!I53+Lozorno!I53+Sološnica!I53+Stupava!I53</f>
        <v>22.99</v>
      </c>
      <c r="J53" s="282"/>
      <c r="K53" s="280">
        <f>Šaštín!K53+Holíč!K53+'Mor. Ján'!K53+Lozorno!K53+Sološnica!K53+Stupava!K53</f>
        <v>11.68</v>
      </c>
      <c r="L53" s="282"/>
      <c r="O53" s="270" t="s">
        <v>81</v>
      </c>
      <c r="P53" s="270"/>
      <c r="Q53" s="270"/>
      <c r="R53" s="270"/>
      <c r="S53" s="270"/>
      <c r="T53" s="270"/>
      <c r="U53" s="270"/>
      <c r="V53" s="270"/>
      <c r="W53" s="270"/>
      <c r="X53" s="270"/>
      <c r="Y53" s="270"/>
      <c r="Z53" s="270"/>
    </row>
    <row r="54" spans="1:26" ht="13.9" customHeight="1" thickBot="1" x14ac:dyDescent="0.25">
      <c r="A54" s="9"/>
      <c r="B54" s="10"/>
      <c r="C54" s="271" t="s">
        <v>25</v>
      </c>
      <c r="D54" s="271"/>
      <c r="E54" s="271"/>
      <c r="F54" s="272"/>
      <c r="G54" s="95"/>
      <c r="H54" s="22" t="s">
        <v>23</v>
      </c>
      <c r="I54" s="273">
        <f>I55-I51-I52-I53</f>
        <v>61.320000000000064</v>
      </c>
      <c r="J54" s="283"/>
      <c r="K54" s="273">
        <f>K55-K51-K52-K53</f>
        <v>30.36</v>
      </c>
      <c r="L54" s="283"/>
      <c r="N54" s="210" t="s">
        <v>11</v>
      </c>
      <c r="O54" s="175">
        <f>O48-(I44)*1/3</f>
        <v>431</v>
      </c>
      <c r="P54" s="175">
        <f>P48-((I44)*2/3)</f>
        <v>-534</v>
      </c>
      <c r="Q54" s="175">
        <f>Q48-((I44)*3/3)</f>
        <v>-142</v>
      </c>
      <c r="R54" s="175">
        <f>R48-((I44+I45)*4/6)</f>
        <v>1791.3333333333321</v>
      </c>
      <c r="S54" s="175">
        <f>S48-(I44+(I45*2/3))</f>
        <v>2040.3333333333358</v>
      </c>
      <c r="T54" s="175">
        <f>T48-(I44+(I45*3/3))</f>
        <v>5873</v>
      </c>
      <c r="U54" s="175">
        <f>U48-(I44+I45+(I46*1/3))</f>
        <v>10152.333333333336</v>
      </c>
      <c r="V54" s="175">
        <f>V48-(I44+I45+(I46*2/3))</f>
        <v>14361.666666666664</v>
      </c>
      <c r="W54" s="175">
        <f>W48-(I44+I45+(I46*3/3))</f>
        <v>19099</v>
      </c>
      <c r="X54" s="175">
        <f t="shared" ref="X54:Z55" si="17">X39-X48</f>
        <v>-75184</v>
      </c>
      <c r="Y54" s="175">
        <f t="shared" si="17"/>
        <v>0</v>
      </c>
      <c r="Z54" s="175">
        <f t="shared" si="17"/>
        <v>0</v>
      </c>
    </row>
    <row r="55" spans="1:26" ht="15" thickBot="1" x14ac:dyDescent="0.25">
      <c r="A55" s="16" t="s">
        <v>17</v>
      </c>
      <c r="B55" s="92" t="s">
        <v>43</v>
      </c>
      <c r="C55" s="131">
        <f>Šaštín!C55+Holíč!C55+'Mor. Ján'!C55+Lozorno!C55+Sološnica!C55+Stupava!C55</f>
        <v>19410</v>
      </c>
      <c r="D55" s="131">
        <f>Šaštín!D55+Holíč!D55+'Mor. Ján'!D55+Lozorno!D55+Sološnica!D55+Stupava!D55</f>
        <v>6764</v>
      </c>
      <c r="E55" s="131">
        <f>Šaštín!E55+Holíč!E55+'Mor. Ján'!E55+Lozorno!E55+Sološnica!E55+Stupava!E55</f>
        <v>4673</v>
      </c>
      <c r="F55" s="135">
        <f>SUM(C55:E55)</f>
        <v>30847</v>
      </c>
      <c r="G55" s="95"/>
      <c r="H55" s="73" t="s">
        <v>24</v>
      </c>
      <c r="I55" s="276">
        <f>F46</f>
        <v>321.84000000000003</v>
      </c>
      <c r="J55" s="284"/>
      <c r="K55" s="276">
        <f>F47</f>
        <v>43.339999999999996</v>
      </c>
      <c r="L55" s="284"/>
      <c r="N55" s="212" t="s">
        <v>12</v>
      </c>
      <c r="O55" s="175">
        <f>O49-(J44/3)</f>
        <v>-2175.333333333333</v>
      </c>
      <c r="P55" s="175">
        <f>P49-((J44)*2/3)</f>
        <v>-487.66666666666606</v>
      </c>
      <c r="Q55" s="175">
        <f>Q49-((J44)*3/3)</f>
        <v>2072</v>
      </c>
      <c r="R55" s="175">
        <f>R49-((J44+J45)*4/6)</f>
        <v>5026</v>
      </c>
      <c r="S55" s="175">
        <f>S49-(J44+(J45*2/3))</f>
        <v>3139.6666666666642</v>
      </c>
      <c r="T55" s="245">
        <f>T49-(J44+(J45*3/3))</f>
        <v>1512</v>
      </c>
      <c r="U55" s="246">
        <f>U49-(J44+J45+(J46*1/3))</f>
        <v>-765</v>
      </c>
      <c r="V55" s="246">
        <f>V49-(J44+J45+(J46*2/3))</f>
        <v>-784</v>
      </c>
      <c r="W55" s="246">
        <f>W49-(J44+J45+(J46*3/3))</f>
        <v>643</v>
      </c>
      <c r="X55" s="176">
        <f t="shared" si="17"/>
        <v>-59265</v>
      </c>
      <c r="Y55" s="176">
        <f t="shared" si="17"/>
        <v>0</v>
      </c>
      <c r="Z55" s="176">
        <f t="shared" si="17"/>
        <v>0</v>
      </c>
    </row>
    <row r="56" spans="1:26" ht="15" thickBot="1" x14ac:dyDescent="0.25">
      <c r="A56" s="16" t="s">
        <v>20</v>
      </c>
      <c r="B56" s="92" t="s">
        <v>43</v>
      </c>
      <c r="C56" s="131">
        <f>Šaštín!C56+Holíč!C56+'Mor. Ján'!C56+Lozorno!C56+Sološnica!C56+Stupava!C56</f>
        <v>26856</v>
      </c>
      <c r="D56" s="131">
        <f>Šaštín!D56+Holíč!D56+'Mor. Ján'!D56+Lozorno!D56+Sološnica!D56+Stupava!D56</f>
        <v>3886</v>
      </c>
      <c r="E56" s="131">
        <f>Šaštín!E56+Holíč!E56+'Mor. Ján'!E56+Lozorno!E56+Sološnica!E56+Stupava!E56</f>
        <v>1445</v>
      </c>
      <c r="F56" s="135">
        <f>SUM(C56:E56)</f>
        <v>32187</v>
      </c>
      <c r="G56" s="95"/>
      <c r="H56" s="103"/>
      <c r="I56" s="103"/>
      <c r="J56" s="103"/>
      <c r="K56" s="161"/>
      <c r="L56" s="161"/>
      <c r="N56" s="214" t="s">
        <v>78</v>
      </c>
      <c r="O56" s="177">
        <f>O54+O55</f>
        <v>-1744.333333333333</v>
      </c>
      <c r="P56" s="177">
        <f t="shared" ref="P56:Z56" si="18">P54+P55</f>
        <v>-1021.6666666666661</v>
      </c>
      <c r="Q56" s="177">
        <f t="shared" ref="Q56:R56" si="19">Q54+Q55</f>
        <v>1930</v>
      </c>
      <c r="R56" s="177">
        <f t="shared" si="19"/>
        <v>6817.3333333333321</v>
      </c>
      <c r="S56" s="177">
        <f t="shared" ref="S56:T56" si="20">S54+S55</f>
        <v>5180</v>
      </c>
      <c r="T56" s="177">
        <f t="shared" si="20"/>
        <v>7385</v>
      </c>
      <c r="U56" s="247">
        <f>U50-(K44+K45+(K46*1/3))</f>
        <v>9387.3333333333285</v>
      </c>
      <c r="V56" s="247">
        <f>V50-(K44+K45+(K46*2/3))</f>
        <v>13577.666666666672</v>
      </c>
      <c r="W56" s="247">
        <f>W50-(K44+K45+(K46*3/3))</f>
        <v>19742</v>
      </c>
      <c r="X56" s="177">
        <f t="shared" si="18"/>
        <v>-134449</v>
      </c>
      <c r="Y56" s="177">
        <f t="shared" si="18"/>
        <v>0</v>
      </c>
      <c r="Z56" s="177">
        <f t="shared" si="18"/>
        <v>0</v>
      </c>
    </row>
    <row r="57" spans="1:26" ht="14.25" x14ac:dyDescent="0.2">
      <c r="A57" s="77" t="s">
        <v>6</v>
      </c>
      <c r="B57" s="27" t="s">
        <v>43</v>
      </c>
      <c r="C57" s="141">
        <f>SUM(C55:C56)</f>
        <v>46266</v>
      </c>
      <c r="D57" s="141">
        <f t="shared" ref="D57:E57" si="21">SUM(D55:D56)</f>
        <v>10650</v>
      </c>
      <c r="E57" s="141">
        <f t="shared" si="21"/>
        <v>6118</v>
      </c>
      <c r="F57" s="142">
        <f>SUM(C57:E57)</f>
        <v>63034</v>
      </c>
      <c r="G57" s="102"/>
      <c r="H57" s="96" t="s">
        <v>40</v>
      </c>
      <c r="I57" s="267" t="s">
        <v>39</v>
      </c>
      <c r="J57" s="268"/>
      <c r="K57" s="268"/>
      <c r="L57" s="269"/>
    </row>
    <row r="58" spans="1:26" x14ac:dyDescent="0.2">
      <c r="A58" s="47" t="s">
        <v>26</v>
      </c>
      <c r="B58" s="48" t="s">
        <v>13</v>
      </c>
      <c r="C58" s="131">
        <f>Šaštín!C58+Holíč!C58+'Mor. Ján'!C58+Lozorno!C58+Sološnica!C58+Stupava!C58</f>
        <v>1179.4099999999999</v>
      </c>
      <c r="D58" s="131">
        <f>Šaštín!D58+Holíč!D58+'Mor. Ján'!D58+Lozorno!D58+Sološnica!D58+Stupava!D58</f>
        <v>266.41999999999996</v>
      </c>
      <c r="E58" s="131">
        <f>Šaštín!E58+Holíč!E58+'Mor. Ján'!E58+Lozorno!E58+Sološnica!E58+Stupava!E58</f>
        <v>137.13</v>
      </c>
      <c r="F58" s="143">
        <f>SUM(C58:E58)</f>
        <v>1582.96</v>
      </c>
      <c r="G58" s="108"/>
      <c r="H58" s="22" t="s">
        <v>15</v>
      </c>
      <c r="I58" s="280">
        <f>Šaštín!I58+Holíč!I58+'Mor. Ján'!I58+Lozorno!I58+Sološnica!I58+Stupava!I58</f>
        <v>44.29</v>
      </c>
      <c r="J58" s="281"/>
      <c r="K58" s="281"/>
      <c r="L58" s="282"/>
    </row>
    <row r="59" spans="1:26" ht="15.75" thickBot="1" x14ac:dyDescent="0.3">
      <c r="A59" s="109" t="s">
        <v>27</v>
      </c>
      <c r="B59" s="110" t="s">
        <v>28</v>
      </c>
      <c r="C59" s="144">
        <f>IF(C58=0,0,ROUND((C57/C58),2))</f>
        <v>39.229999999999997</v>
      </c>
      <c r="D59" s="145">
        <f>IF(D58=0,0,ROUND((D57/D58),2))</f>
        <v>39.97</v>
      </c>
      <c r="E59" s="145">
        <f>IF(E58=0,0,ROUND((E57/E58),2))</f>
        <v>44.61</v>
      </c>
      <c r="F59" s="146">
        <f>IF(F58=0,0,ROUND((F57/F58),2))</f>
        <v>39.82</v>
      </c>
      <c r="G59" s="114"/>
      <c r="H59" s="22" t="s">
        <v>19</v>
      </c>
      <c r="I59" s="280">
        <f>Šaštín!I59+Holíč!I59+'Mor. Ján'!I59+Lozorno!I59+Sološnica!I59+Stupava!I59</f>
        <v>133.09</v>
      </c>
      <c r="J59" s="281"/>
      <c r="K59" s="281"/>
      <c r="L59" s="282"/>
      <c r="O59" s="342" t="s">
        <v>75</v>
      </c>
      <c r="P59" s="342"/>
      <c r="Q59" s="342"/>
      <c r="R59" s="342"/>
      <c r="S59" s="342"/>
      <c r="T59" s="342"/>
      <c r="U59" s="342"/>
      <c r="V59" s="342"/>
      <c r="W59" s="342"/>
      <c r="X59" s="342"/>
      <c r="Y59" s="342"/>
      <c r="Z59" s="342"/>
    </row>
    <row r="60" spans="1:26" x14ac:dyDescent="0.2">
      <c r="A60" s="9"/>
      <c r="B60" s="10"/>
      <c r="C60" s="271" t="s">
        <v>29</v>
      </c>
      <c r="D60" s="271"/>
      <c r="E60" s="271"/>
      <c r="F60" s="272"/>
      <c r="G60" s="95"/>
      <c r="H60" s="22" t="s">
        <v>21</v>
      </c>
      <c r="I60" s="280">
        <f>Šaštín!I60+Holíč!I60+'Mor. Ján'!I60+Lozorno!I60+Sološnica!I60+Stupava!I60</f>
        <v>237.2</v>
      </c>
      <c r="J60" s="281"/>
      <c r="K60" s="281"/>
      <c r="L60" s="282"/>
      <c r="N60" s="210" t="s">
        <v>11</v>
      </c>
      <c r="O60" s="232">
        <f>O48/((I44)*1/3)</f>
        <v>1.064763335837716</v>
      </c>
      <c r="P60" s="232">
        <f>P48/((I44)*2/3)</f>
        <v>0.95987978963185572</v>
      </c>
      <c r="Q60" s="232">
        <f>Q48/((I44)*3/3)</f>
        <v>0.99288755321813171</v>
      </c>
      <c r="R60" s="232">
        <f>R48/((I44+I45)*4/6)</f>
        <v>1.0725921923544508</v>
      </c>
      <c r="S60" s="236">
        <f>S48/(I44+(I45*2/3))</f>
        <v>1.065120485132188</v>
      </c>
      <c r="T60" s="236">
        <f>T48/(I44+(I45*3/3))</f>
        <v>1.1586654059165202</v>
      </c>
      <c r="U60" s="236">
        <f>U48/(I44+I45+(I46*1/3))</f>
        <v>1.2440366972477066</v>
      </c>
      <c r="V60" s="236">
        <f>V48/(I44+I45+(I46*2/3))</f>
        <v>1.3109371053296286</v>
      </c>
      <c r="W60" s="236">
        <f>W48/(I44+I45+(I46*3/3))</f>
        <v>1.3761496799606106</v>
      </c>
      <c r="X60" s="236">
        <f>X48/(I44+I45+I46+(I47*1/3))</f>
        <v>1.4001211408618817</v>
      </c>
      <c r="Y60" s="175"/>
      <c r="Z60" s="175"/>
    </row>
    <row r="61" spans="1:26" ht="15" thickBot="1" x14ac:dyDescent="0.25">
      <c r="A61" s="16" t="s">
        <v>44</v>
      </c>
      <c r="B61" s="92" t="s">
        <v>43</v>
      </c>
      <c r="C61" s="131">
        <f>Šaštín!C61+Holíč!C61+'Mor. Ján'!C61+Lozorno!C61+Sološnica!C61+Stupava!C61</f>
        <v>5521</v>
      </c>
      <c r="D61" s="131">
        <f>Šaštín!D61+Holíč!D61+'Mor. Ján'!D61+Lozorno!D61+Sološnica!D61+Stupava!D61</f>
        <v>1994</v>
      </c>
      <c r="E61" s="131">
        <f>Šaštín!E61+Holíč!E61+'Mor. Ján'!E61+Lozorno!E61+Sološnica!E61+Stupava!E61</f>
        <v>1316</v>
      </c>
      <c r="F61" s="135">
        <f>SUM(C61:E61)</f>
        <v>8831</v>
      </c>
      <c r="G61" s="95"/>
      <c r="H61" s="22" t="s">
        <v>23</v>
      </c>
      <c r="I61" s="273">
        <f>I62-I58-I59-I60</f>
        <v>111.13000000000005</v>
      </c>
      <c r="J61" s="274"/>
      <c r="K61" s="274"/>
      <c r="L61" s="275"/>
      <c r="N61" s="212" t="s">
        <v>12</v>
      </c>
      <c r="O61" s="233">
        <f>O49/((J44)*1/3)</f>
        <v>0.67606472748932789</v>
      </c>
      <c r="P61" s="233">
        <f>P49/((J44)*2/3)</f>
        <v>0.96369006254343303</v>
      </c>
      <c r="Q61" s="233">
        <f>Q49/((J44)*3/3)</f>
        <v>1.1028492008339124</v>
      </c>
      <c r="R61" s="240">
        <f>R49/((J44+J45)*4/6)</f>
        <v>1.2009917619771255</v>
      </c>
      <c r="S61" s="237">
        <f>S49/(J44+(J45*2/3))</f>
        <v>1.098976503719894</v>
      </c>
      <c r="T61" s="240">
        <f>T49/(J44+(J45*3/3))</f>
        <v>1.0403103255218749</v>
      </c>
      <c r="U61" s="244">
        <f>U49/(J44+J45+(J46*1/3))</f>
        <v>0.98249187531468851</v>
      </c>
      <c r="V61" s="244">
        <f>V49/(J44+J45+(J46*2/3))</f>
        <v>0.98428196234888432</v>
      </c>
      <c r="W61" s="244">
        <f>W49/(J44+J45+(J46*3/3))</f>
        <v>1.0114690353881279</v>
      </c>
      <c r="X61" s="244">
        <f>X49/(J44+J45+J46+(J47*1/3))</f>
        <v>1.0261654884949276</v>
      </c>
      <c r="Y61" s="176"/>
      <c r="Z61" s="176"/>
    </row>
    <row r="62" spans="1:26" ht="15" thickBot="1" x14ac:dyDescent="0.25">
      <c r="A62" s="16" t="s">
        <v>45</v>
      </c>
      <c r="B62" s="92" t="s">
        <v>43</v>
      </c>
      <c r="C62" s="131">
        <f>Šaštín!C62+Holíč!C62+'Mor. Ján'!C62+Lozorno!C62+Sološnica!C62+Stupava!C62</f>
        <v>7094</v>
      </c>
      <c r="D62" s="131">
        <f>Šaštín!D62+Holíč!D62+'Mor. Ján'!D62+Lozorno!D62+Sološnica!D62+Stupava!D62</f>
        <v>512</v>
      </c>
      <c r="E62" s="131">
        <f>Šaštín!E62+Holíč!E62+'Mor. Ján'!E62+Lozorno!E62+Sološnica!E62+Stupava!E62</f>
        <v>191</v>
      </c>
      <c r="F62" s="135">
        <f>SUM(C62:E62)</f>
        <v>7797</v>
      </c>
      <c r="G62" s="95"/>
      <c r="H62" s="73" t="s">
        <v>24</v>
      </c>
      <c r="I62" s="276">
        <f>F48</f>
        <v>525.71</v>
      </c>
      <c r="J62" s="277"/>
      <c r="K62" s="277"/>
      <c r="L62" s="278"/>
      <c r="N62" s="214" t="s">
        <v>78</v>
      </c>
      <c r="O62" s="231">
        <f>O50/((K44)*1/3)</f>
        <v>0.86953703472862798</v>
      </c>
      <c r="P62" s="231">
        <f>P50/((K44)*2/3)</f>
        <v>0.96179352297374776</v>
      </c>
      <c r="Q62" s="231">
        <f>Q50/((K44)*3/3)</f>
        <v>1.048116476776944</v>
      </c>
      <c r="R62" s="231">
        <f>R50/((K44+K45)*4/6)</f>
        <v>1.1372175406580431</v>
      </c>
      <c r="S62" s="241">
        <f>S50/(K44+(K45*2/3))</f>
        <v>1.0821531092890109</v>
      </c>
      <c r="T62" s="241">
        <f>T50/(K44+(K45*3/3))</f>
        <v>1.0990955933658955</v>
      </c>
      <c r="U62" s="243">
        <f>U50/(K44+K45+(K46*1/3))</f>
        <v>1.1100563920793163</v>
      </c>
      <c r="V62" s="243">
        <f>V50/(K44+K45+(K46*2/3))</f>
        <v>1.1413348970513737</v>
      </c>
      <c r="W62" s="243">
        <f>W50/(K44+K45+(K46*3/3))</f>
        <v>1.1847827104334558</v>
      </c>
      <c r="X62" s="243">
        <f>X50/(K44+K45+K46+(K47*1/3))</f>
        <v>1.2025783823760114</v>
      </c>
      <c r="Y62" s="177"/>
      <c r="Z62" s="177"/>
    </row>
    <row r="63" spans="1:26" ht="14.25" x14ac:dyDescent="0.2">
      <c r="A63" s="42" t="s">
        <v>6</v>
      </c>
      <c r="B63" s="115" t="s">
        <v>46</v>
      </c>
      <c r="C63" s="147">
        <f>SUM(C61:C62)</f>
        <v>12615</v>
      </c>
      <c r="D63" s="148">
        <f>SUM(D61:D62)</f>
        <v>2506</v>
      </c>
      <c r="E63" s="148">
        <f>SUM(E61:E62)</f>
        <v>1507</v>
      </c>
      <c r="F63" s="142">
        <f>SUM(C63:E63)</f>
        <v>16628</v>
      </c>
      <c r="G63" s="102"/>
      <c r="H63" s="103"/>
      <c r="I63" s="95"/>
      <c r="J63" s="95"/>
      <c r="K63" s="82"/>
      <c r="L63" s="82"/>
    </row>
    <row r="64" spans="1:26" x14ac:dyDescent="0.2">
      <c r="A64" s="47" t="s">
        <v>26</v>
      </c>
      <c r="B64" s="48" t="s">
        <v>13</v>
      </c>
      <c r="C64" s="131">
        <f>Šaštín!C64+Holíč!C64+'Mor. Ján'!C64+Lozorno!C64+Sološnica!C64+Stupava!C64</f>
        <v>548.81999999999994</v>
      </c>
      <c r="D64" s="131">
        <f>Šaštín!D64+Holíč!D64+'Mor. Ján'!D64+Lozorno!D64+Sološnica!D64+Stupava!D64</f>
        <v>109.95</v>
      </c>
      <c r="E64" s="131">
        <f>Šaštín!E64+Holíč!E64+'Mor. Ján'!E64+Lozorno!E64+Sološnica!E64+Stupava!E64</f>
        <v>65.19</v>
      </c>
      <c r="F64" s="143">
        <f>SUM(C64:E64)</f>
        <v>723.96</v>
      </c>
      <c r="G64" s="108"/>
      <c r="H64" s="103"/>
      <c r="I64" s="95"/>
      <c r="J64" s="95"/>
      <c r="K64" s="82"/>
      <c r="L64" s="82"/>
    </row>
    <row r="65" spans="1:26" ht="15.75" thickBot="1" x14ac:dyDescent="0.3">
      <c r="A65" s="109" t="s">
        <v>27</v>
      </c>
      <c r="B65" s="110" t="s">
        <v>28</v>
      </c>
      <c r="C65" s="144">
        <f>IF(C64=0,0,ROUND((C63/C64),2))</f>
        <v>22.99</v>
      </c>
      <c r="D65" s="145">
        <f>IF(D64=0,0,ROUND((D63/D64),2))</f>
        <v>22.79</v>
      </c>
      <c r="E65" s="145">
        <f>IF(E64=0,0,ROUND((E63/E64),2))</f>
        <v>23.12</v>
      </c>
      <c r="F65" s="146">
        <f>IF(F64=0,0,ROUND((F63/F64),2))</f>
        <v>22.97</v>
      </c>
      <c r="G65" s="114"/>
      <c r="H65" s="120" t="s">
        <v>47</v>
      </c>
      <c r="I65" s="279" t="s">
        <v>53</v>
      </c>
      <c r="J65" s="279"/>
      <c r="K65" s="122"/>
      <c r="L65" s="82" t="s">
        <v>77</v>
      </c>
      <c r="M65" s="82"/>
      <c r="O65" s="209" t="s">
        <v>76</v>
      </c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</row>
    <row r="66" spans="1:26" x14ac:dyDescent="0.2">
      <c r="A66" s="116" t="s">
        <v>37</v>
      </c>
      <c r="B66" s="88" t="s">
        <v>13</v>
      </c>
      <c r="C66" s="131">
        <f>Šaštín!C66+Holíč!C66+'Mor. Ján'!C66+Lozorno!C66+Sološnica!C66+Stupava!C66</f>
        <v>198</v>
      </c>
      <c r="D66" s="131">
        <f>Šaštín!D66+Holíč!D66+'Mor. Ján'!D66+Lozorno!D66+Sološnica!D66+Stupava!D66</f>
        <v>188</v>
      </c>
      <c r="E66" s="131">
        <f>Šaštín!E66+Holíč!E66+'Mor. Ján'!E66+Lozorno!E66+Sološnica!E66+Stupava!E66</f>
        <v>13</v>
      </c>
      <c r="F66" s="220">
        <f>SUM(C66:E66)</f>
        <v>399</v>
      </c>
      <c r="G66" s="95"/>
      <c r="H66" s="103"/>
      <c r="I66" s="178" t="s">
        <v>85</v>
      </c>
      <c r="J66" s="95"/>
      <c r="K66" s="82"/>
      <c r="L66" s="82"/>
      <c r="M66" s="82"/>
      <c r="N66" s="210" t="s">
        <v>11</v>
      </c>
      <c r="O66" s="232">
        <f>O48/I48</f>
        <v>0.10600008975452138</v>
      </c>
      <c r="P66" s="232">
        <f>P48/I48</f>
        <v>0.191117294200362</v>
      </c>
      <c r="Q66" s="232">
        <f>Q48/I48</f>
        <v>0.29653397956588728</v>
      </c>
      <c r="R66" s="232">
        <f>R48/I48</f>
        <v>0.39593711199868359</v>
      </c>
      <c r="S66" s="232">
        <f>S48/I48</f>
        <v>0.49921464793788989</v>
      </c>
      <c r="T66" s="232">
        <f>T48/I48</f>
        <v>0.64156531885293722</v>
      </c>
      <c r="U66" s="232">
        <f>U48/I48</f>
        <v>0.7741925832847163</v>
      </c>
      <c r="V66" s="232">
        <f>V48/I48</f>
        <v>0.90577271163368189</v>
      </c>
      <c r="W66" s="232">
        <f>W48/I48</f>
        <v>1.0452512378644407</v>
      </c>
      <c r="X66" s="232">
        <f>X48/I48</f>
        <v>1.1756795165223115</v>
      </c>
      <c r="Y66" s="175"/>
      <c r="Z66" s="175"/>
    </row>
    <row r="67" spans="1:26" ht="13.5" thickBot="1" x14ac:dyDescent="0.25">
      <c r="A67" s="118" t="s">
        <v>39</v>
      </c>
      <c r="B67" s="94" t="s">
        <v>13</v>
      </c>
      <c r="C67" s="131">
        <f>Šaštín!C67+Holíč!C67+'Mor. Ján'!C67+Lozorno!C67+Sološnica!C67+Stupava!C67</f>
        <v>367</v>
      </c>
      <c r="D67" s="131">
        <f>Šaštín!D67+Holíč!D67+'Mor. Ján'!D67+Lozorno!D67+Sološnica!D67+Stupava!D67</f>
        <v>132</v>
      </c>
      <c r="E67" s="131">
        <f>Šaštín!E67+Holíč!E67+'Mor. Ján'!E67+Lozorno!E67+Sološnica!E67+Stupava!E67</f>
        <v>9</v>
      </c>
      <c r="F67" s="221">
        <f>SUM(C67:E67)</f>
        <v>508</v>
      </c>
      <c r="G67" s="95"/>
      <c r="H67" s="103"/>
      <c r="I67" s="95"/>
      <c r="J67" s="95"/>
      <c r="K67" s="82"/>
      <c r="L67" s="82"/>
      <c r="M67" s="82"/>
      <c r="N67" s="212" t="s">
        <v>12</v>
      </c>
      <c r="O67" s="233">
        <f>O49/J48</f>
        <v>5.9392210986250832E-2</v>
      </c>
      <c r="P67" s="233">
        <f>P49/J48</f>
        <v>0.1693201292500098</v>
      </c>
      <c r="Q67" s="233">
        <f>Q49/J48</f>
        <v>0.29065553825826457</v>
      </c>
      <c r="R67" s="233">
        <f>R49/J48</f>
        <v>0.39287816747556942</v>
      </c>
      <c r="S67" s="233">
        <f>S49/J48</f>
        <v>0.45605107206865425</v>
      </c>
      <c r="T67" s="233">
        <f>T49/J48</f>
        <v>0.51047212883138626</v>
      </c>
      <c r="U67" s="233">
        <f>U49/J48</f>
        <v>0.56159652542483751</v>
      </c>
      <c r="V67" s="233">
        <f>V49/J48</f>
        <v>0.64226004369382927</v>
      </c>
      <c r="W67" s="233">
        <f>W49/J48</f>
        <v>0.7418401119817899</v>
      </c>
      <c r="X67" s="233">
        <f>X49/J48</f>
        <v>0.84380110150312004</v>
      </c>
      <c r="Y67" s="176"/>
      <c r="Z67" s="176"/>
    </row>
    <row r="68" spans="1:26" ht="13.5" thickBot="1" x14ac:dyDescent="0.25">
      <c r="A68" s="81"/>
      <c r="B68" s="80"/>
      <c r="C68" s="81"/>
      <c r="D68" s="81"/>
      <c r="E68" s="81"/>
      <c r="F68" s="81"/>
      <c r="G68" s="81"/>
      <c r="H68" s="80"/>
      <c r="I68" s="81"/>
      <c r="J68" s="81"/>
      <c r="K68" s="82"/>
      <c r="L68" s="82"/>
      <c r="M68" s="82"/>
      <c r="N68" s="214" t="s">
        <v>78</v>
      </c>
      <c r="O68" s="231">
        <f>O50/K48</f>
        <v>8.1136157442947873E-2</v>
      </c>
      <c r="P68" s="231">
        <f>P50/K48</f>
        <v>0.17948914788191778</v>
      </c>
      <c r="Q68" s="231">
        <f>Q50/K48</f>
        <v>0.29339800404773536</v>
      </c>
      <c r="R68" s="231">
        <f>R50/K48</f>
        <v>0.39430525507711633</v>
      </c>
      <c r="S68" s="231">
        <f>S50/K48</f>
        <v>0.47618814990578545</v>
      </c>
      <c r="T68" s="231">
        <f>T50/K48</f>
        <v>0.5716309581966641</v>
      </c>
      <c r="U68" s="231">
        <f>U50/K48</f>
        <v>0.6607788401144532</v>
      </c>
      <c r="V68" s="231">
        <f>V50/K48</f>
        <v>0.76519645474213138</v>
      </c>
      <c r="W68" s="231">
        <f>W50/K48</f>
        <v>0.88339032730825595</v>
      </c>
      <c r="X68" s="231">
        <f>X50/K48</f>
        <v>0.99863214460185634</v>
      </c>
      <c r="Y68" s="177"/>
      <c r="Z68" s="177"/>
    </row>
    <row r="69" spans="1:26" x14ac:dyDescent="0.2">
      <c r="D69" s="120"/>
      <c r="F69" s="120"/>
      <c r="G69" s="120"/>
      <c r="H69" s="123"/>
      <c r="I69" s="253"/>
      <c r="J69" s="254"/>
      <c r="K69" s="255" t="s">
        <v>101</v>
      </c>
      <c r="L69" s="82"/>
      <c r="M69" s="82"/>
    </row>
    <row r="70" spans="1:26" x14ac:dyDescent="0.2">
      <c r="A70" s="124"/>
      <c r="B70" s="125"/>
      <c r="C70" s="124"/>
      <c r="D70" s="126"/>
      <c r="E70" s="124"/>
      <c r="F70" s="124"/>
      <c r="G70" s="124"/>
      <c r="H70" s="125"/>
      <c r="I70" s="256" t="s">
        <v>102</v>
      </c>
      <c r="J70" s="257"/>
      <c r="K70" s="262">
        <f>F51+F55</f>
        <v>66417</v>
      </c>
      <c r="L70" s="127"/>
      <c r="M70" s="127"/>
    </row>
    <row r="71" spans="1:26" ht="15.75" thickBot="1" x14ac:dyDescent="0.3">
      <c r="I71" s="256" t="s">
        <v>12</v>
      </c>
      <c r="J71" s="257"/>
      <c r="K71" s="262">
        <f>F52+F56</f>
        <v>82476</v>
      </c>
      <c r="O71" s="343" t="s">
        <v>82</v>
      </c>
      <c r="P71" s="343"/>
      <c r="Q71" s="343"/>
      <c r="R71" s="343"/>
      <c r="S71" s="343"/>
      <c r="T71" s="343"/>
      <c r="U71" s="343"/>
      <c r="V71" s="343"/>
      <c r="W71" s="343"/>
      <c r="X71" s="343"/>
      <c r="Y71" s="343"/>
      <c r="Z71" s="343"/>
    </row>
    <row r="72" spans="1:26" ht="13.5" thickBot="1" x14ac:dyDescent="0.25">
      <c r="I72" s="259" t="s">
        <v>103</v>
      </c>
      <c r="J72" s="260"/>
      <c r="K72" s="261">
        <f>SUM(K70:K71)</f>
        <v>148893</v>
      </c>
      <c r="N72" s="210" t="s">
        <v>11</v>
      </c>
      <c r="O72" s="263">
        <f>O33-(I32/3)</f>
        <v>257</v>
      </c>
      <c r="P72" s="263">
        <f>P33-(I32*2/3)</f>
        <v>-707</v>
      </c>
      <c r="Q72" s="263">
        <f>Q33-(I32*3/3)</f>
        <v>-388</v>
      </c>
      <c r="R72" s="263">
        <f>R33-((I32+I33)*4/6)</f>
        <v>1379.6666666666679</v>
      </c>
      <c r="S72" s="263">
        <f>S33-(I32+(I33*2/3))</f>
        <v>1587.6666666666642</v>
      </c>
      <c r="T72" s="263">
        <f>T33-(I32+(I33*3/3))</f>
        <v>5325</v>
      </c>
      <c r="U72" s="263">
        <f>U33-(I32+I33+(I34*1/3))</f>
        <v>9561</v>
      </c>
      <c r="V72" s="263">
        <f>V33-(I32+I33+(I34*2/3))</f>
        <v>13713</v>
      </c>
      <c r="W72" s="263">
        <f>W33-(I32+I33+(I34*3/3))</f>
        <v>18524</v>
      </c>
      <c r="X72" s="263">
        <f>X33-(I32+I33+I34+(I35*1/3))</f>
        <v>22190.333333333336</v>
      </c>
      <c r="Y72" s="263">
        <f t="shared" ref="Y72:Z73" si="22">Y61-Y66</f>
        <v>0</v>
      </c>
      <c r="Z72" s="263">
        <f t="shared" si="22"/>
        <v>0</v>
      </c>
    </row>
    <row r="73" spans="1:26" ht="13.5" thickBot="1" x14ac:dyDescent="0.25">
      <c r="N73" s="212" t="s">
        <v>12</v>
      </c>
      <c r="O73" s="264">
        <f>O34-(J32/3)</f>
        <v>-2365</v>
      </c>
      <c r="P73" s="264">
        <f>P34-(J32*2/3)</f>
        <v>-663</v>
      </c>
      <c r="Q73" s="264">
        <f>Q34-(J32*3/3)</f>
        <v>1893</v>
      </c>
      <c r="R73" s="264">
        <f>R34-((J32+J33)*4/6)</f>
        <v>4368.6666666666679</v>
      </c>
      <c r="S73" s="264">
        <f>S34-(J32+(J33*2/3))</f>
        <v>2783.6666666666642</v>
      </c>
      <c r="T73" s="264">
        <f>T34-(J32+(J33*3/3))</f>
        <v>1008</v>
      </c>
      <c r="U73" s="264">
        <f>U34-(J32+J33+(J34*1/3))</f>
        <v>-1345.6666666666642</v>
      </c>
      <c r="V73" s="264">
        <f>V34-(J32+J33+(J34*2/3))</f>
        <v>-1493.3333333333358</v>
      </c>
      <c r="W73" s="264">
        <f>W34-(J32+J33+(J34*3/3))</f>
        <v>-266</v>
      </c>
      <c r="X73" s="264">
        <f>X34-(J32+J33+J34+(J35*1/3))</f>
        <v>921</v>
      </c>
      <c r="Y73" s="264">
        <f t="shared" si="22"/>
        <v>0</v>
      </c>
      <c r="Z73" s="264">
        <f t="shared" si="22"/>
        <v>0</v>
      </c>
    </row>
    <row r="74" spans="1:26" ht="13.5" thickBot="1" x14ac:dyDescent="0.25">
      <c r="N74" s="214" t="s">
        <v>78</v>
      </c>
      <c r="O74" s="265">
        <f t="shared" ref="O74:R74" si="23">O72+O73</f>
        <v>-2108</v>
      </c>
      <c r="P74" s="265">
        <f t="shared" si="23"/>
        <v>-1370</v>
      </c>
      <c r="Q74" s="265">
        <f t="shared" si="23"/>
        <v>1505</v>
      </c>
      <c r="R74" s="265">
        <f t="shared" si="23"/>
        <v>5748.3333333333358</v>
      </c>
      <c r="S74" s="266">
        <f>S35-(K32+(K33*2/3))</f>
        <v>4371.3333333333285</v>
      </c>
      <c r="T74" s="266">
        <f>T35-(K32+(K33*3/3))</f>
        <v>6333</v>
      </c>
      <c r="U74" s="266">
        <f>U35-(K32+K33+(K34*1/3))</f>
        <v>8215.3333333333285</v>
      </c>
      <c r="V74" s="266">
        <f>V35-(K32+K33+(K34*2/3))</f>
        <v>12219.666666666672</v>
      </c>
      <c r="W74" s="266">
        <f>W35-(K32+K33+(K34*3/3))</f>
        <v>18258</v>
      </c>
      <c r="X74" s="266">
        <f>X35-(K32+K33+K34+(K35*1/3))</f>
        <v>23111.333333333328</v>
      </c>
      <c r="Y74" s="265">
        <f t="shared" ref="Y74:Z74" si="24">Y72+Y73</f>
        <v>0</v>
      </c>
      <c r="Z74" s="265">
        <f t="shared" si="24"/>
        <v>0</v>
      </c>
    </row>
    <row r="77" spans="1:26" ht="15.75" thickBot="1" x14ac:dyDescent="0.3">
      <c r="O77" s="342" t="s">
        <v>83</v>
      </c>
      <c r="P77" s="342"/>
      <c r="Q77" s="342"/>
      <c r="R77" s="342"/>
      <c r="S77" s="342"/>
      <c r="T77" s="342"/>
      <c r="U77" s="342"/>
      <c r="V77" s="342"/>
      <c r="W77" s="342"/>
      <c r="X77" s="342"/>
      <c r="Y77" s="342"/>
      <c r="Z77" s="342"/>
    </row>
    <row r="78" spans="1:26" ht="13.5" thickBot="1" x14ac:dyDescent="0.25">
      <c r="N78" s="210" t="s">
        <v>11</v>
      </c>
      <c r="O78" s="234">
        <f>O33/((I32)*1/3)</f>
        <v>1.0373981373690337</v>
      </c>
      <c r="P78" s="234">
        <f>P33/((I32)*2/3)</f>
        <v>0.94855937136204893</v>
      </c>
      <c r="Q78" s="234">
        <f>Q33/((I32)*3/3)</f>
        <v>0.98117966627861852</v>
      </c>
      <c r="R78" s="234">
        <f>R33/((I32+I33)*4/6)</f>
        <v>1.0540720612442191</v>
      </c>
      <c r="S78" s="234">
        <f>S33/(I32+(I33*2/3))</f>
        <v>1.0490212222885489</v>
      </c>
      <c r="T78" s="234">
        <f>T33/(I32+(I33*3/3))</f>
        <v>1.139132025187469</v>
      </c>
      <c r="U78" s="234">
        <f>U33/(I32+I33+(I34*1/3))</f>
        <v>1.2221060701094153</v>
      </c>
      <c r="V78" s="234">
        <f>V33/(I32+I33+(I34*2/3))</f>
        <v>1.2867568641391858</v>
      </c>
      <c r="W78" s="234">
        <f>W33/(I32+I33+(I34*3/3))</f>
        <v>1.3522007795417816</v>
      </c>
      <c r="X78" s="217">
        <f>X33/(I32+I33+I34+(I35*1/3))%</f>
        <v>138.10829531338553</v>
      </c>
      <c r="Y78" s="217"/>
      <c r="Z78" s="217"/>
    </row>
    <row r="79" spans="1:26" ht="13.5" thickBot="1" x14ac:dyDescent="0.25">
      <c r="N79" s="212" t="s">
        <v>12</v>
      </c>
      <c r="O79" s="234">
        <f>O34/((J32)*1/3)</f>
        <v>0.66024996408561987</v>
      </c>
      <c r="P79" s="234">
        <f>P34/((J32)*2/3)</f>
        <v>0.95237753196379826</v>
      </c>
      <c r="Q79" s="234">
        <f>Q34/((J32)*3/3)</f>
        <v>1.0906478954173251</v>
      </c>
      <c r="R79" s="234">
        <f>R34/((J32+J33)*4/6)</f>
        <v>1.1644004014049172</v>
      </c>
      <c r="S79" s="234">
        <f>S34/(J32+(J33*2/3))</f>
        <v>1.0830094529984196</v>
      </c>
      <c r="T79" s="234">
        <f>T34/(J32+(J33*3/3))</f>
        <v>1.0252885097842448</v>
      </c>
      <c r="U79" s="234">
        <f>U34/(J32+J33+(J34*1/3))</f>
        <v>0.97107192249539609</v>
      </c>
      <c r="V79" s="234">
        <f>V34/(J32+J33+(J34*2/3))</f>
        <v>0.97191680353045895</v>
      </c>
      <c r="W79" s="234">
        <f>W34/(J32+J33+(J34*3/3))</f>
        <v>0.99555429278157537</v>
      </c>
      <c r="X79" s="217">
        <f>X34/(J32+J33+J34+(J35*1/3))%</f>
        <v>101.37485258773829</v>
      </c>
      <c r="Y79" s="218"/>
      <c r="Z79" s="218"/>
    </row>
    <row r="80" spans="1:26" ht="13.5" thickBot="1" x14ac:dyDescent="0.25">
      <c r="N80" s="214" t="s">
        <v>78</v>
      </c>
      <c r="O80" s="234">
        <f>O35/((K32)*1/3)</f>
        <v>0.8476107858020675</v>
      </c>
      <c r="P80" s="234">
        <f>P35/((K32)*2/3)</f>
        <v>0.9504807344755295</v>
      </c>
      <c r="Q80" s="234">
        <f>Q35/((K32)*3/3)</f>
        <v>1.0362659341188944</v>
      </c>
      <c r="R80" s="234">
        <f>R35/((K32+K33)*4/6)</f>
        <v>1.110356699473974</v>
      </c>
      <c r="S80" s="234">
        <f>S35/(K32+(K33*2/3))</f>
        <v>1.0663110257123352</v>
      </c>
      <c r="T80" s="234">
        <f>T35/(K32+(K33*3/3))</f>
        <v>1.0810541000601539</v>
      </c>
      <c r="U80" s="234">
        <f>U35/(K32+K33+(K34*1/3))</f>
        <v>1.0917251594750905</v>
      </c>
      <c r="V80" s="234">
        <f>V35/(K32+K33+(K34*2/3))</f>
        <v>1.1209911910993469</v>
      </c>
      <c r="W80" s="234">
        <f>W35/(K32+K33+(K34*3/3))</f>
        <v>1.1623972675845875</v>
      </c>
      <c r="X80" s="217">
        <f>X35/(K32+K33+K34+(K35*1/3))%</f>
        <v>118.45677960687436</v>
      </c>
      <c r="Y80" s="219"/>
      <c r="Z80" s="219"/>
    </row>
    <row r="83" spans="14:26" ht="15.75" thickBot="1" x14ac:dyDescent="0.25">
      <c r="O83" s="270" t="s">
        <v>96</v>
      </c>
      <c r="P83" s="270"/>
      <c r="Q83" s="270"/>
      <c r="R83" s="270"/>
      <c r="S83" s="270"/>
      <c r="T83" s="270"/>
      <c r="U83" s="270"/>
      <c r="V83" s="270"/>
      <c r="W83" s="270"/>
      <c r="X83" s="270"/>
      <c r="Y83" s="270"/>
      <c r="Z83" s="270"/>
    </row>
    <row r="84" spans="14:26" ht="13.5" thickBot="1" x14ac:dyDescent="0.25">
      <c r="N84" s="210" t="s">
        <v>94</v>
      </c>
      <c r="O84" s="398">
        <f>Šaštín!N62+Holíč!N62+'Mor. Ján'!N62+Lozorno!N62+Sološnica!N62</f>
        <v>0</v>
      </c>
      <c r="P84" s="398">
        <f>Šaštín!O62+Holíč!O62+'Mor. Ján'!O62+Lozorno!O62+Sološnica!O62</f>
        <v>0</v>
      </c>
      <c r="Q84" s="398">
        <f>Šaštín!P62+Holíč!P62+'Mor. Ján'!P62+Lozorno!P62+Sološnica!P62+Stupava!P62</f>
        <v>47.58</v>
      </c>
      <c r="R84" s="398">
        <f>Šaštín!Q62+Holíč!Q62+'Mor. Ján'!Q62+Lozorno!Q62+Sološnica!Q62+Stupava!Q62</f>
        <v>195.01999999999998</v>
      </c>
      <c r="S84" s="398">
        <f>Šaštín!R62+Holíč!R62+'Mor. Ján'!R62+Lozorno!R62+Sološnica!R62+Stupava!R62</f>
        <v>247.59</v>
      </c>
      <c r="T84" s="398">
        <f>Šaštín!S62+Holíč!S62+'Mor. Ján'!S62+Lozorno!S62+Sološnica!S62+Stupava!S62</f>
        <v>247.41</v>
      </c>
      <c r="U84" s="398">
        <f>Šaštín!T62+Holíč!T62+'Mor. Ján'!T62+Lozorno!T62+Sološnica!T62+Stupava!T62</f>
        <v>247.41</v>
      </c>
      <c r="V84" s="398">
        <f>Šaštín!U62+Holíč!U62+'Mor. Ján'!U62+Lozorno!U62+Sološnica!U62+Stupava!U62</f>
        <v>247.41</v>
      </c>
      <c r="W84" s="398">
        <f>Šaštín!V62+Holíč!V62+'Mor. Ján'!V62+Lozorno!V62+Sološnica!V62+Stupava!V62</f>
        <v>268.56</v>
      </c>
      <c r="X84" s="398">
        <f>Šaštín!W62+Holíč!W62+'Mor. Ján'!W62+Lozorno!W62+Sološnica!W62+Stupava!W62</f>
        <v>274.20999999999998</v>
      </c>
      <c r="Y84" s="175">
        <f>Šaštín!X62+Holíč!X62+'Mor. Ján'!X62+Lozorno!X62+Sološnica!X62+Stupava!X62</f>
        <v>0</v>
      </c>
      <c r="Z84" s="175">
        <f>Šaštín!Y62+Holíč!Y62+'Mor. Ján'!Y62+Lozorno!Y62+Sološnica!Y62+Stupava!Y62</f>
        <v>0</v>
      </c>
    </row>
    <row r="85" spans="14:26" ht="13.5" thickBot="1" x14ac:dyDescent="0.25">
      <c r="N85" s="225" t="s">
        <v>95</v>
      </c>
      <c r="O85" s="400">
        <f>O84-(I51*1/3)</f>
        <v>-27.213333333333335</v>
      </c>
      <c r="P85" s="400">
        <f>P84-((I51)*2/3)</f>
        <v>-54.426666666666669</v>
      </c>
      <c r="Q85" s="400">
        <f>Q84-((I51)*3/3)</f>
        <v>-34.06</v>
      </c>
      <c r="R85" s="400">
        <f>R84-((I51+I52))</f>
        <v>-42.509999999999991</v>
      </c>
      <c r="S85" s="400">
        <f>S84-((I51+I52))</f>
        <v>10.060000000000031</v>
      </c>
      <c r="T85" s="400">
        <f>T84-(I51+I52)</f>
        <v>9.8800000000000239</v>
      </c>
      <c r="U85" s="400">
        <f>U84-(I51+I52+I53)</f>
        <v>-13.109999999999985</v>
      </c>
      <c r="V85" s="400">
        <f>V84-(I51+I52+I53)</f>
        <v>-13.109999999999985</v>
      </c>
      <c r="W85" s="400">
        <f>W84-(I51+I52+I53)</f>
        <v>8.0400000000000205</v>
      </c>
      <c r="X85" s="401">
        <f>X84-((I51+I52+I53+I54)*10/12)</f>
        <v>6.0099999999999341</v>
      </c>
      <c r="Y85" s="226"/>
      <c r="Z85" s="228"/>
    </row>
    <row r="86" spans="14:26" ht="13.5" thickBot="1" x14ac:dyDescent="0.25">
      <c r="N86" s="229" t="s">
        <v>93</v>
      </c>
      <c r="O86" s="399">
        <f>O84/((I51)*1/3)</f>
        <v>0</v>
      </c>
      <c r="P86" s="399">
        <f>P84/((I51)*2/3)</f>
        <v>0</v>
      </c>
      <c r="Q86" s="399">
        <f>Q84/((I51)*2/3)</f>
        <v>0.87420382165605093</v>
      </c>
      <c r="R86" s="399">
        <f>R84/((I51+I52))</f>
        <v>0.82103313265692757</v>
      </c>
      <c r="S86" s="399">
        <f>S84/((I51+I52))</f>
        <v>1.0423525449416917</v>
      </c>
      <c r="T86" s="399">
        <f>T84/(I51+I52)</f>
        <v>1.0415947459268304</v>
      </c>
      <c r="U86" s="399">
        <f>U84/(I51+I52+I53)</f>
        <v>0.94967756794104108</v>
      </c>
      <c r="V86" s="399">
        <f>V84/(I51+I52+I53)</f>
        <v>0.94967756794104108</v>
      </c>
      <c r="W86" s="399">
        <f>W84/(I51+I52+I53)</f>
        <v>1.0308613542146476</v>
      </c>
      <c r="X86" s="399">
        <f>X84/((I51+I52+I53+I54)*10/12)</f>
        <v>1.022408650260999</v>
      </c>
      <c r="Y86" s="239">
        <f t="shared" ref="X86:Z86" si="25">Y70-Y79</f>
        <v>0</v>
      </c>
      <c r="Z86" s="238">
        <f t="shared" si="25"/>
        <v>0</v>
      </c>
    </row>
    <row r="89" spans="14:26" ht="15.75" thickBot="1" x14ac:dyDescent="0.25">
      <c r="O89" s="270" t="s">
        <v>97</v>
      </c>
      <c r="P89" s="270"/>
      <c r="Q89" s="270"/>
      <c r="R89" s="270"/>
      <c r="S89" s="270"/>
      <c r="T89" s="270"/>
      <c r="U89" s="270"/>
      <c r="V89" s="270"/>
      <c r="W89" s="270"/>
      <c r="X89" s="270"/>
      <c r="Y89" s="270"/>
      <c r="Z89" s="270"/>
    </row>
    <row r="90" spans="14:26" ht="13.5" thickBot="1" x14ac:dyDescent="0.25">
      <c r="N90" s="210" t="s">
        <v>94</v>
      </c>
      <c r="O90" s="398">
        <f>Šaštín!N68+Holíč!N68+'Mor. Ján'!N68+Lozorno!N68+Sološnica!N68</f>
        <v>27</v>
      </c>
      <c r="P90" s="398">
        <f>Šaštín!O68+Holíč!O68+'Mor. Ján'!O68+Lozorno!O68+Sološnica!O68</f>
        <v>51</v>
      </c>
      <c r="Q90" s="398">
        <f>Šaštín!P68+Holíč!P68+'Mor. Ján'!P68+Lozorno!P68+Sološnica!P68+Stupava!P68</f>
        <v>102.38000000000001</v>
      </c>
      <c r="R90" s="398">
        <f>Šaštín!Q68+Holíč!Q68+'Mor. Ján'!Q68+Lozorno!Q68+Sološnica!Q68+Stupava!Q68</f>
        <v>108.88000000000001</v>
      </c>
      <c r="S90" s="398">
        <f>Šaštín!R68+Holíč!R68+'Mor. Ján'!R68+Lozorno!R68+Sološnica!R68+Stupava!R68</f>
        <v>164.25</v>
      </c>
      <c r="T90" s="398">
        <f>Šaštín!S68+Holíč!S68+'Mor. Ján'!S68+Lozorno!S68+Sološnica!S68+Stupava!S68</f>
        <v>222.88</v>
      </c>
      <c r="U90" s="398">
        <f>Šaštín!T68+Holíč!T68+'Mor. Ján'!T68+Lozorno!T68+Sološnica!T68+Stupava!T68</f>
        <v>248.85</v>
      </c>
      <c r="V90" s="398">
        <f>Šaštín!U68+Holíč!U68+'Mor. Ján'!U68+Lozorno!U68+Sološnica!U68+Stupava!U68</f>
        <v>274.42</v>
      </c>
      <c r="W90" s="398">
        <f>Šaštín!V68+Holíč!V68+'Mor. Ján'!V68+Lozorno!V68+Sološnica!V68+Stupava!V68</f>
        <v>301.96000000000004</v>
      </c>
      <c r="X90" s="398">
        <f>Šaštín!W68+Holíč!W68+'Mor. Ján'!W68+Lozorno!W68+Sološnica!W68+Stupava!W68</f>
        <v>321.95</v>
      </c>
      <c r="Y90" s="175">
        <f>Šaštín!X68+Holíč!X68+'Mor. Ján'!X68+Lozorno!X68+Sološnica!X68+Stupava!X68</f>
        <v>0</v>
      </c>
      <c r="Z90" s="175">
        <f>Šaštín!Y68+Holíč!Y68+'Mor. Ján'!Y68+Lozorno!Y68+Sološnica!Y68+Stupava!Y68</f>
        <v>0</v>
      </c>
    </row>
    <row r="91" spans="14:26" ht="13.5" thickBot="1" x14ac:dyDescent="0.25">
      <c r="N91" s="225" t="s">
        <v>95</v>
      </c>
      <c r="O91" s="400">
        <f>O90-((I58)*1/3)</f>
        <v>12.236666666666666</v>
      </c>
      <c r="P91" s="400">
        <f>P90-((I58)*2/3)</f>
        <v>21.473333333333333</v>
      </c>
      <c r="Q91" s="400">
        <f>Q90-((I58)*3/3)</f>
        <v>58.090000000000011</v>
      </c>
      <c r="R91" s="400">
        <f>R90-((I58+I59)*4/6)</f>
        <v>-9.3733333333333206</v>
      </c>
      <c r="S91" s="400">
        <f>S90-((I58+I59)*5/6)</f>
        <v>16.433333333333337</v>
      </c>
      <c r="T91" s="400">
        <f>T90-(I58+I59)</f>
        <v>45.5</v>
      </c>
      <c r="U91" s="400">
        <f>U90-((I58+I59+I60)*7/9)</f>
        <v>-73.601111111111123</v>
      </c>
      <c r="V91" s="400">
        <f>V90-((I58+I59+I60)*8/9)</f>
        <v>-94.095555555555507</v>
      </c>
      <c r="W91" s="400">
        <f>W90-((I58+I59+I60)*9/9)</f>
        <v>-112.61999999999995</v>
      </c>
      <c r="X91" s="401">
        <f>X90-((I58+I59+I60+I61)*10/12)</f>
        <v>-116.14166666666671</v>
      </c>
      <c r="Y91" s="226"/>
      <c r="Z91" s="228"/>
    </row>
    <row r="92" spans="14:26" ht="13.5" thickBot="1" x14ac:dyDescent="0.25">
      <c r="N92" s="229" t="s">
        <v>93</v>
      </c>
      <c r="O92" s="399">
        <f>O90/((I58)*1/3)</f>
        <v>1.8288552720704447</v>
      </c>
      <c r="P92" s="399">
        <f>P90/((I58)*2/3)</f>
        <v>1.7272522013998646</v>
      </c>
      <c r="Q92" s="399">
        <f>Q90/((I58)*3/3)</f>
        <v>2.3115827500564463</v>
      </c>
      <c r="R92" s="399">
        <f>R90/((I58+I59)*4/6)</f>
        <v>0.92073514488668406</v>
      </c>
      <c r="S92" s="399">
        <f>S90/((I58+I59)*5/6)</f>
        <v>1.1111737512684632</v>
      </c>
      <c r="T92" s="399">
        <f>T90/(I58+I59)</f>
        <v>1.2565114443567482</v>
      </c>
      <c r="U92" s="399">
        <f>U90/((I58+I59+I60)*7/9)</f>
        <v>0.77174489845144478</v>
      </c>
      <c r="V92" s="399">
        <f>V90/((I58+I59+I60)*8/9)</f>
        <v>0.74466327367456231</v>
      </c>
      <c r="W92" s="399">
        <f>W90/((I58+I59+I60)*9/9)</f>
        <v>0.72835158473635986</v>
      </c>
      <c r="X92" s="399">
        <f>X90/((I58+I59+I60+I61)*10/12)</f>
        <v>0.7348918605314716</v>
      </c>
      <c r="Y92" s="230">
        <f>Y76-Y86</f>
        <v>0</v>
      </c>
      <c r="Z92" s="179">
        <f>Z76-Z86</f>
        <v>0</v>
      </c>
    </row>
  </sheetData>
  <mergeCells count="87">
    <mergeCell ref="I51:J51"/>
    <mergeCell ref="I52:J52"/>
    <mergeCell ref="I53:J53"/>
    <mergeCell ref="K51:L51"/>
    <mergeCell ref="K52:L52"/>
    <mergeCell ref="K53:L53"/>
    <mergeCell ref="O53:Z53"/>
    <mergeCell ref="O59:Z59"/>
    <mergeCell ref="O71:Z71"/>
    <mergeCell ref="O77:Z77"/>
    <mergeCell ref="O27:Z27"/>
    <mergeCell ref="O32:Z32"/>
    <mergeCell ref="O37:Z37"/>
    <mergeCell ref="O42:Z42"/>
    <mergeCell ref="O47:Z47"/>
    <mergeCell ref="O1:Z1"/>
    <mergeCell ref="O4:Z4"/>
    <mergeCell ref="O9:Z9"/>
    <mergeCell ref="O15:Z15"/>
    <mergeCell ref="O22:Z22"/>
    <mergeCell ref="C1:K1"/>
    <mergeCell ref="A2:A3"/>
    <mergeCell ref="B2:B3"/>
    <mergeCell ref="C2:C3"/>
    <mergeCell ref="D2:E2"/>
    <mergeCell ref="F2:F3"/>
    <mergeCell ref="H2:L2"/>
    <mergeCell ref="A21:B21"/>
    <mergeCell ref="C22:F22"/>
    <mergeCell ref="C4:F4"/>
    <mergeCell ref="A7:A8"/>
    <mergeCell ref="B7:B8"/>
    <mergeCell ref="C7:C8"/>
    <mergeCell ref="D7:D8"/>
    <mergeCell ref="E7:E8"/>
    <mergeCell ref="F7:F8"/>
    <mergeCell ref="F25:F26"/>
    <mergeCell ref="C9:F9"/>
    <mergeCell ref="H9:L9"/>
    <mergeCell ref="C15:F15"/>
    <mergeCell ref="H15:L15"/>
    <mergeCell ref="A25:A26"/>
    <mergeCell ref="B25:B26"/>
    <mergeCell ref="C25:C26"/>
    <mergeCell ref="D25:D26"/>
    <mergeCell ref="E25:E26"/>
    <mergeCell ref="C27:F27"/>
    <mergeCell ref="A30:A31"/>
    <mergeCell ref="B30:B31"/>
    <mergeCell ref="C30:C31"/>
    <mergeCell ref="D30:D31"/>
    <mergeCell ref="E30:E31"/>
    <mergeCell ref="F30:F31"/>
    <mergeCell ref="C32:F32"/>
    <mergeCell ref="A35:A36"/>
    <mergeCell ref="B35:B36"/>
    <mergeCell ref="C35:C36"/>
    <mergeCell ref="D35:D36"/>
    <mergeCell ref="E35:E36"/>
    <mergeCell ref="F35:F36"/>
    <mergeCell ref="C37:F37"/>
    <mergeCell ref="A40:A41"/>
    <mergeCell ref="B40:B41"/>
    <mergeCell ref="C40:C41"/>
    <mergeCell ref="D40:D41"/>
    <mergeCell ref="E40:E41"/>
    <mergeCell ref="F40:F41"/>
    <mergeCell ref="C42:F42"/>
    <mergeCell ref="H43:L43"/>
    <mergeCell ref="C50:F50"/>
    <mergeCell ref="I50:J50"/>
    <mergeCell ref="K50:L50"/>
    <mergeCell ref="C54:F54"/>
    <mergeCell ref="I54:J54"/>
    <mergeCell ref="K54:L54"/>
    <mergeCell ref="I55:J55"/>
    <mergeCell ref="K55:L55"/>
    <mergeCell ref="I57:L57"/>
    <mergeCell ref="O83:Z83"/>
    <mergeCell ref="O89:Z89"/>
    <mergeCell ref="C60:F60"/>
    <mergeCell ref="I61:L61"/>
    <mergeCell ref="I62:L62"/>
    <mergeCell ref="I65:J65"/>
    <mergeCell ref="I58:L58"/>
    <mergeCell ref="I59:L59"/>
    <mergeCell ref="I60:L60"/>
  </mergeCells>
  <conditionalFormatting sqref="F63:G63 F18:G18 F35:G35 F40:G40 F12:G12 F25:G25 F45:G45 F53:G53 F57:G57 F30:G30">
    <cfRule type="cellIs" dxfId="19" priority="2" stopIfTrue="1" operator="notEqual">
      <formula>F10+F11</formula>
    </cfRule>
  </conditionalFormatting>
  <conditionalFormatting sqref="H31">
    <cfRule type="expression" dxfId="18" priority="1" stopIfTrue="1">
      <formula>F31&lt;&gt;SUM(I27:I31)</formula>
    </cfRule>
  </conditionalFormatting>
  <printOptions horizontalCentered="1" verticalCentered="1"/>
  <pageMargins left="0" right="0" top="0" bottom="0" header="0" footer="0"/>
  <pageSetup paperSize="9"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6"/>
  <sheetViews>
    <sheetView topLeftCell="A16" workbookViewId="0">
      <selection activeCell="L49" sqref="L49"/>
    </sheetView>
  </sheetViews>
  <sheetFormatPr defaultRowHeight="12.75" x14ac:dyDescent="0.2"/>
  <cols>
    <col min="2" max="2" width="10" customWidth="1"/>
    <col min="3" max="3" width="11.140625" customWidth="1"/>
  </cols>
  <sheetData>
    <row r="3" spans="1:5" x14ac:dyDescent="0.2">
      <c r="A3" s="224" t="s">
        <v>88</v>
      </c>
      <c r="B3" s="224" t="s">
        <v>92</v>
      </c>
      <c r="C3" s="224" t="s">
        <v>91</v>
      </c>
      <c r="D3" s="224"/>
      <c r="E3" s="224"/>
    </row>
    <row r="4" spans="1:5" x14ac:dyDescent="0.2">
      <c r="A4" s="224">
        <v>1</v>
      </c>
      <c r="B4" s="222">
        <v>13370</v>
      </c>
      <c r="C4" s="223">
        <f>OZ!O50</f>
        <v>11626</v>
      </c>
      <c r="D4" s="223"/>
      <c r="E4" s="223"/>
    </row>
    <row r="5" spans="1:5" x14ac:dyDescent="0.2">
      <c r="A5" s="224">
        <v>2</v>
      </c>
      <c r="B5" s="222">
        <v>26740</v>
      </c>
      <c r="C5" s="223">
        <f>OZ!P50</f>
        <v>25719</v>
      </c>
      <c r="D5" s="223"/>
      <c r="E5" s="223"/>
    </row>
    <row r="6" spans="1:5" x14ac:dyDescent="0.2">
      <c r="A6" s="224">
        <v>3</v>
      </c>
      <c r="B6" s="222">
        <v>40111</v>
      </c>
      <c r="C6" s="223">
        <f>OZ!Q50</f>
        <v>42041</v>
      </c>
      <c r="D6" s="223"/>
      <c r="E6" s="223"/>
    </row>
    <row r="7" spans="1:5" x14ac:dyDescent="0.2">
      <c r="A7" s="224">
        <v>4</v>
      </c>
      <c r="B7" s="222">
        <v>51582</v>
      </c>
      <c r="C7" s="223">
        <f>OZ!R50</f>
        <v>56500</v>
      </c>
      <c r="D7" s="223"/>
      <c r="E7" s="223"/>
    </row>
    <row r="8" spans="1:5" x14ac:dyDescent="0.2">
      <c r="A8" s="224">
        <v>5</v>
      </c>
      <c r="B8" s="222">
        <v>63053</v>
      </c>
      <c r="C8" s="223">
        <f>OZ!S50</f>
        <v>68233</v>
      </c>
      <c r="D8" s="223"/>
      <c r="E8" s="223"/>
    </row>
    <row r="9" spans="1:5" x14ac:dyDescent="0.2">
      <c r="A9" s="224">
        <v>6</v>
      </c>
      <c r="B9" s="222">
        <v>74524</v>
      </c>
      <c r="C9" s="223">
        <f>OZ!T50</f>
        <v>81909</v>
      </c>
      <c r="D9" s="223"/>
      <c r="E9" s="223"/>
    </row>
    <row r="10" spans="1:5" x14ac:dyDescent="0.2">
      <c r="A10" s="224">
        <v>7</v>
      </c>
      <c r="B10" s="222">
        <v>85295</v>
      </c>
      <c r="C10" s="223">
        <f>OZ!U50</f>
        <v>94683</v>
      </c>
      <c r="D10" s="223"/>
      <c r="E10" s="223"/>
    </row>
    <row r="11" spans="1:5" x14ac:dyDescent="0.2">
      <c r="A11" s="224">
        <v>8</v>
      </c>
      <c r="B11" s="222">
        <v>96066</v>
      </c>
      <c r="C11" s="223">
        <f>OZ!V50</f>
        <v>109645</v>
      </c>
      <c r="D11" s="223"/>
      <c r="E11" s="223"/>
    </row>
    <row r="12" spans="1:5" x14ac:dyDescent="0.2">
      <c r="A12" s="224">
        <v>9</v>
      </c>
      <c r="B12" s="222">
        <v>106839</v>
      </c>
      <c r="C12" s="223">
        <f>OZ!W50</f>
        <v>126581</v>
      </c>
      <c r="D12" s="223"/>
      <c r="E12" s="223"/>
    </row>
    <row r="13" spans="1:5" x14ac:dyDescent="0.2">
      <c r="A13" s="224">
        <v>10</v>
      </c>
      <c r="B13" s="222">
        <v>118989</v>
      </c>
      <c r="C13" s="223">
        <f>OZ!X50</f>
        <v>143094</v>
      </c>
      <c r="D13" s="223"/>
      <c r="E13" s="223"/>
    </row>
    <row r="14" spans="1:5" x14ac:dyDescent="0.2">
      <c r="A14" s="224">
        <v>11</v>
      </c>
      <c r="B14" s="222">
        <v>131139</v>
      </c>
      <c r="C14" s="223"/>
      <c r="D14" s="223"/>
      <c r="E14" s="223"/>
    </row>
    <row r="15" spans="1:5" x14ac:dyDescent="0.2">
      <c r="A15" s="224">
        <v>12</v>
      </c>
      <c r="B15" s="222">
        <v>143290</v>
      </c>
      <c r="C15" s="223"/>
      <c r="D15" s="223"/>
      <c r="E15" s="223"/>
    </row>
    <row r="16" spans="1:5" x14ac:dyDescent="0.2">
      <c r="A16" s="224"/>
      <c r="B16" s="224"/>
      <c r="C16" s="224"/>
      <c r="D16" s="224"/>
      <c r="E16" s="224"/>
    </row>
    <row r="23" spans="1:5" x14ac:dyDescent="0.2">
      <c r="A23" s="224" t="s">
        <v>88</v>
      </c>
      <c r="B23" s="224" t="s">
        <v>90</v>
      </c>
      <c r="C23" s="224" t="s">
        <v>89</v>
      </c>
      <c r="D23" s="224"/>
      <c r="E23" s="224"/>
    </row>
    <row r="24" spans="1:5" x14ac:dyDescent="0.2">
      <c r="A24" s="224">
        <v>1</v>
      </c>
      <c r="B24" s="222">
        <v>6655</v>
      </c>
      <c r="C24" s="223">
        <f>OZ!O48</f>
        <v>7086</v>
      </c>
      <c r="D24" s="223"/>
      <c r="E24" s="223"/>
    </row>
    <row r="25" spans="1:5" x14ac:dyDescent="0.2">
      <c r="A25" s="224">
        <v>2</v>
      </c>
      <c r="B25" s="222">
        <v>13310</v>
      </c>
      <c r="C25" s="223">
        <f>OZ!P48</f>
        <v>12776</v>
      </c>
      <c r="D25" s="223"/>
      <c r="E25" s="223"/>
    </row>
    <row r="26" spans="1:5" x14ac:dyDescent="0.2">
      <c r="A26" s="224">
        <v>3</v>
      </c>
      <c r="B26" s="222">
        <v>19965</v>
      </c>
      <c r="C26" s="223">
        <f>OZ!Q48</f>
        <v>19823</v>
      </c>
      <c r="D26" s="223"/>
      <c r="E26" s="223"/>
    </row>
    <row r="27" spans="1:5" x14ac:dyDescent="0.2">
      <c r="A27" s="224">
        <v>4</v>
      </c>
      <c r="B27" s="222">
        <v>25648</v>
      </c>
      <c r="C27" s="223">
        <f>OZ!R48</f>
        <v>26468</v>
      </c>
      <c r="D27" s="223"/>
      <c r="E27" s="223"/>
    </row>
    <row r="28" spans="1:5" x14ac:dyDescent="0.2">
      <c r="A28" s="224">
        <v>5</v>
      </c>
      <c r="B28" s="222">
        <v>31331</v>
      </c>
      <c r="C28" s="223">
        <f>OZ!S48</f>
        <v>33372</v>
      </c>
      <c r="D28" s="223"/>
      <c r="E28" s="223"/>
    </row>
    <row r="29" spans="1:5" x14ac:dyDescent="0.2">
      <c r="A29" s="224">
        <v>6</v>
      </c>
      <c r="B29" s="222">
        <v>37015</v>
      </c>
      <c r="C29" s="223">
        <f>OZ!T48</f>
        <v>42888</v>
      </c>
      <c r="D29" s="223"/>
      <c r="E29" s="223"/>
    </row>
    <row r="30" spans="1:5" x14ac:dyDescent="0.2">
      <c r="A30" s="224">
        <v>7</v>
      </c>
      <c r="B30" s="222">
        <v>41601</v>
      </c>
      <c r="C30" s="223">
        <f>OZ!U48</f>
        <v>51754</v>
      </c>
      <c r="D30" s="223"/>
      <c r="E30" s="223"/>
    </row>
    <row r="31" spans="1:5" x14ac:dyDescent="0.2">
      <c r="A31" s="224">
        <v>8</v>
      </c>
      <c r="B31" s="222">
        <v>46188</v>
      </c>
      <c r="C31" s="223">
        <f>OZ!V48</f>
        <v>60550</v>
      </c>
      <c r="D31" s="223"/>
      <c r="E31" s="223"/>
    </row>
    <row r="32" spans="1:5" x14ac:dyDescent="0.2">
      <c r="A32" s="224">
        <v>9</v>
      </c>
      <c r="B32" s="222">
        <v>50775</v>
      </c>
      <c r="C32" s="223">
        <f>OZ!W48</f>
        <v>69874</v>
      </c>
      <c r="D32" s="223"/>
      <c r="E32" s="223"/>
    </row>
    <row r="33" spans="1:5" x14ac:dyDescent="0.2">
      <c r="A33" s="224">
        <v>10</v>
      </c>
      <c r="B33" s="222">
        <v>56133</v>
      </c>
      <c r="C33" s="223">
        <f>OZ!X48</f>
        <v>78593</v>
      </c>
      <c r="D33" s="223"/>
      <c r="E33" s="223"/>
    </row>
    <row r="34" spans="1:5" x14ac:dyDescent="0.2">
      <c r="A34" s="224">
        <v>11</v>
      </c>
      <c r="B34" s="222">
        <v>61491</v>
      </c>
      <c r="C34" s="223"/>
      <c r="D34" s="223"/>
      <c r="E34" s="223"/>
    </row>
    <row r="35" spans="1:5" x14ac:dyDescent="0.2">
      <c r="A35" s="224">
        <v>12</v>
      </c>
      <c r="B35" s="222">
        <v>66849</v>
      </c>
      <c r="C35" s="223"/>
      <c r="D35" s="223"/>
      <c r="E35" s="223"/>
    </row>
    <row r="36" spans="1:5" x14ac:dyDescent="0.2">
      <c r="B36" s="222"/>
    </row>
    <row r="39" spans="1:5" x14ac:dyDescent="0.2">
      <c r="D39" s="224"/>
      <c r="E39" s="224"/>
    </row>
    <row r="40" spans="1:5" x14ac:dyDescent="0.2">
      <c r="D40" s="223"/>
      <c r="E40" s="223"/>
    </row>
    <row r="41" spans="1:5" x14ac:dyDescent="0.2">
      <c r="D41" s="223"/>
      <c r="E41" s="223"/>
    </row>
    <row r="42" spans="1:5" x14ac:dyDescent="0.2">
      <c r="D42" s="223"/>
      <c r="E42" s="223"/>
    </row>
    <row r="43" spans="1:5" x14ac:dyDescent="0.2">
      <c r="A43" s="224" t="s">
        <v>88</v>
      </c>
      <c r="B43" s="224" t="s">
        <v>87</v>
      </c>
      <c r="C43" s="224" t="s">
        <v>86</v>
      </c>
      <c r="D43" s="223"/>
      <c r="E43" s="223"/>
    </row>
    <row r="44" spans="1:5" x14ac:dyDescent="0.2">
      <c r="A44" s="224">
        <v>1</v>
      </c>
      <c r="B44" s="222">
        <v>6715</v>
      </c>
      <c r="C44" s="223">
        <f>OZ!O49</f>
        <v>4540</v>
      </c>
      <c r="D44" s="223"/>
      <c r="E44" s="223"/>
    </row>
    <row r="45" spans="1:5" x14ac:dyDescent="0.2">
      <c r="A45" s="224">
        <v>2</v>
      </c>
      <c r="B45" s="222">
        <v>13431</v>
      </c>
      <c r="C45" s="223">
        <f>OZ!P49</f>
        <v>12943</v>
      </c>
      <c r="D45" s="223"/>
      <c r="E45" s="223"/>
    </row>
    <row r="46" spans="1:5" x14ac:dyDescent="0.2">
      <c r="A46" s="224">
        <v>3</v>
      </c>
      <c r="B46" s="222">
        <v>20146</v>
      </c>
      <c r="C46" s="223">
        <f>OZ!Q49</f>
        <v>22218</v>
      </c>
      <c r="D46" s="223"/>
      <c r="E46" s="223"/>
    </row>
    <row r="47" spans="1:5" x14ac:dyDescent="0.2">
      <c r="A47" s="224">
        <v>4</v>
      </c>
      <c r="B47" s="222">
        <v>25934</v>
      </c>
      <c r="C47" s="223">
        <f>OZ!R49</f>
        <v>30032</v>
      </c>
      <c r="D47" s="223"/>
      <c r="E47" s="223"/>
    </row>
    <row r="48" spans="1:5" x14ac:dyDescent="0.2">
      <c r="A48" s="224">
        <v>5</v>
      </c>
      <c r="B48" s="222">
        <v>31721</v>
      </c>
      <c r="C48" s="223">
        <f>OZ!S48</f>
        <v>33372</v>
      </c>
      <c r="D48" s="223"/>
      <c r="E48" s="223"/>
    </row>
    <row r="49" spans="1:5" x14ac:dyDescent="0.2">
      <c r="A49" s="224">
        <v>6</v>
      </c>
      <c r="B49" s="222">
        <v>37509</v>
      </c>
      <c r="C49" s="223">
        <f>OZ!T49</f>
        <v>39021</v>
      </c>
      <c r="D49" s="223"/>
      <c r="E49" s="223"/>
    </row>
    <row r="50" spans="1:5" x14ac:dyDescent="0.2">
      <c r="A50" s="224">
        <v>7</v>
      </c>
      <c r="B50" s="222">
        <v>43694</v>
      </c>
      <c r="C50" s="223">
        <f>OZ!U49</f>
        <v>42929</v>
      </c>
      <c r="D50" s="223"/>
      <c r="E50" s="223"/>
    </row>
    <row r="51" spans="1:5" x14ac:dyDescent="0.2">
      <c r="A51" s="224">
        <v>8</v>
      </c>
      <c r="B51" s="222">
        <v>49481</v>
      </c>
      <c r="C51" s="223">
        <f>OZ!V49</f>
        <v>49095</v>
      </c>
      <c r="D51" s="223"/>
      <c r="E51" s="223"/>
    </row>
    <row r="52" spans="1:5" x14ac:dyDescent="0.2">
      <c r="A52" s="224">
        <v>9</v>
      </c>
      <c r="B52" s="222">
        <v>56064</v>
      </c>
      <c r="C52" s="223">
        <f>OZ!W49</f>
        <v>56707</v>
      </c>
    </row>
    <row r="53" spans="1:5" x14ac:dyDescent="0.2">
      <c r="A53" s="224">
        <v>10</v>
      </c>
      <c r="B53" s="222">
        <v>62856</v>
      </c>
      <c r="C53" s="223">
        <f>OZ!X49</f>
        <v>64501</v>
      </c>
    </row>
    <row r="54" spans="1:5" x14ac:dyDescent="0.2">
      <c r="A54" s="224">
        <v>11</v>
      </c>
      <c r="B54" s="222">
        <v>69648</v>
      </c>
      <c r="C54" s="223"/>
    </row>
    <row r="55" spans="1:5" x14ac:dyDescent="0.2">
      <c r="A55" s="224">
        <v>12</v>
      </c>
      <c r="B55" s="222">
        <v>76441</v>
      </c>
      <c r="C55" s="223"/>
    </row>
    <row r="56" spans="1:5" x14ac:dyDescent="0.2">
      <c r="B56" s="22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tabSelected="1" topLeftCell="A44" zoomScaleNormal="100" workbookViewId="0">
      <selection activeCell="W70" sqref="W70"/>
    </sheetView>
  </sheetViews>
  <sheetFormatPr defaultRowHeight="12.75" x14ac:dyDescent="0.2"/>
  <cols>
    <col min="1" max="1" width="12.28515625" customWidth="1"/>
    <col min="3" max="6" width="9.28515625" bestFit="1" customWidth="1"/>
    <col min="7" max="7" width="2" customWidth="1"/>
    <col min="9" max="12" width="9.28515625" bestFit="1" customWidth="1"/>
    <col min="14" max="25" width="9.28515625" customWidth="1"/>
    <col min="26" max="26" width="6.7109375" customWidth="1"/>
  </cols>
  <sheetData>
    <row r="1" spans="1:25" ht="16.5" thickBot="1" x14ac:dyDescent="0.3">
      <c r="A1" s="1" t="s">
        <v>0</v>
      </c>
      <c r="B1" s="2"/>
      <c r="C1" s="325" t="s">
        <v>99</v>
      </c>
      <c r="D1" s="325"/>
      <c r="E1" s="325"/>
      <c r="F1" s="325"/>
      <c r="G1" s="325"/>
      <c r="H1" s="325"/>
      <c r="I1" s="325"/>
      <c r="J1" s="325"/>
      <c r="K1" s="325"/>
      <c r="L1" s="2" t="s">
        <v>2</v>
      </c>
      <c r="N1" s="336" t="s">
        <v>54</v>
      </c>
      <c r="O1" s="337"/>
      <c r="P1" s="337"/>
      <c r="Q1" s="337"/>
      <c r="R1" s="337"/>
      <c r="S1" s="337"/>
      <c r="T1" s="338"/>
      <c r="U1" s="338"/>
      <c r="V1" s="338"/>
      <c r="W1" s="338"/>
      <c r="X1" s="338"/>
      <c r="Y1" s="339"/>
    </row>
    <row r="2" spans="1:25" ht="13.5" thickBot="1" x14ac:dyDescent="0.25">
      <c r="A2" s="326"/>
      <c r="B2" s="328" t="s">
        <v>3</v>
      </c>
      <c r="C2" s="330" t="s">
        <v>4</v>
      </c>
      <c r="D2" s="332" t="s">
        <v>5</v>
      </c>
      <c r="E2" s="332"/>
      <c r="F2" s="333" t="s">
        <v>6</v>
      </c>
      <c r="G2" s="3"/>
      <c r="H2" s="335" t="s">
        <v>7</v>
      </c>
      <c r="I2" s="287"/>
      <c r="J2" s="287"/>
      <c r="K2" s="287"/>
      <c r="L2" s="288"/>
      <c r="N2" s="166" t="s">
        <v>55</v>
      </c>
      <c r="O2" s="167" t="s">
        <v>56</v>
      </c>
      <c r="P2" s="167" t="s">
        <v>57</v>
      </c>
      <c r="Q2" s="167" t="s">
        <v>58</v>
      </c>
      <c r="R2" s="167" t="s">
        <v>59</v>
      </c>
      <c r="S2" s="167" t="s">
        <v>60</v>
      </c>
      <c r="T2" s="167" t="s">
        <v>61</v>
      </c>
      <c r="U2" s="167" t="s">
        <v>62</v>
      </c>
      <c r="V2" s="167" t="s">
        <v>63</v>
      </c>
      <c r="W2" s="167" t="s">
        <v>64</v>
      </c>
      <c r="X2" s="167" t="s">
        <v>65</v>
      </c>
      <c r="Y2" s="168" t="s">
        <v>66</v>
      </c>
    </row>
    <row r="3" spans="1:25" ht="13.5" thickBot="1" x14ac:dyDescent="0.25">
      <c r="A3" s="327"/>
      <c r="B3" s="329"/>
      <c r="C3" s="331"/>
      <c r="D3" s="4" t="s">
        <v>8</v>
      </c>
      <c r="E3" s="5" t="s">
        <v>9</v>
      </c>
      <c r="F3" s="334"/>
      <c r="G3" s="3"/>
      <c r="H3" s="6" t="s">
        <v>10</v>
      </c>
      <c r="I3" s="7" t="s">
        <v>11</v>
      </c>
      <c r="J3" s="7" t="s">
        <v>12</v>
      </c>
      <c r="K3" s="7" t="s">
        <v>6</v>
      </c>
      <c r="L3" s="8" t="s">
        <v>13</v>
      </c>
    </row>
    <row r="4" spans="1:25" ht="13.5" thickBot="1" x14ac:dyDescent="0.25">
      <c r="A4" s="9"/>
      <c r="B4" s="10"/>
      <c r="C4" s="268" t="s">
        <v>14</v>
      </c>
      <c r="D4" s="268"/>
      <c r="E4" s="268"/>
      <c r="F4" s="269"/>
      <c r="G4" s="11"/>
      <c r="H4" s="12" t="s">
        <v>15</v>
      </c>
      <c r="I4" s="13">
        <v>1266</v>
      </c>
      <c r="J4" s="13">
        <v>158</v>
      </c>
      <c r="K4" s="14">
        <f>SUM(I4:J4)</f>
        <v>1424</v>
      </c>
      <c r="L4" s="15" t="s">
        <v>16</v>
      </c>
      <c r="N4" s="340" t="s">
        <v>67</v>
      </c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</row>
    <row r="5" spans="1:25" x14ac:dyDescent="0.2">
      <c r="A5" s="16" t="s">
        <v>17</v>
      </c>
      <c r="B5" s="17" t="s">
        <v>18</v>
      </c>
      <c r="C5" s="18">
        <v>1678</v>
      </c>
      <c r="D5" s="19">
        <v>352</v>
      </c>
      <c r="E5" s="19"/>
      <c r="F5" s="20">
        <f>SUM(C5:E5)</f>
        <v>2030</v>
      </c>
      <c r="G5" s="21"/>
      <c r="H5" s="22" t="s">
        <v>19</v>
      </c>
      <c r="I5" s="19"/>
      <c r="J5" s="19"/>
      <c r="K5" s="23">
        <f>SUM(I5:J5)</f>
        <v>0</v>
      </c>
      <c r="L5" s="24" t="s">
        <v>16</v>
      </c>
      <c r="N5" s="169">
        <v>100</v>
      </c>
      <c r="O5" s="169">
        <v>483</v>
      </c>
      <c r="P5" s="169">
        <v>599</v>
      </c>
      <c r="Q5" s="169">
        <v>737</v>
      </c>
      <c r="R5" s="169">
        <v>752</v>
      </c>
      <c r="S5" s="169">
        <v>755</v>
      </c>
      <c r="T5" s="169">
        <v>755</v>
      </c>
      <c r="U5" s="169">
        <v>755</v>
      </c>
      <c r="V5" s="169">
        <v>755</v>
      </c>
      <c r="W5" s="169">
        <v>755</v>
      </c>
      <c r="X5" s="169">
        <f>[1]Šaštín!X5+[1]Holíč!X5+'[1]Mor. Ján'!X5+[1]Lozorno!X5+[1]Sološnica!X5</f>
        <v>0</v>
      </c>
      <c r="Y5" s="169">
        <f>[1]Šaštín!Y5+[1]Holíč!Y5+'[1]Mor. Ján'!Y5+[1]Lozorno!Y5+[1]Sološnica!Y5</f>
        <v>0</v>
      </c>
    </row>
    <row r="6" spans="1:25" ht="13.5" thickBot="1" x14ac:dyDescent="0.25">
      <c r="A6" s="16" t="s">
        <v>20</v>
      </c>
      <c r="B6" s="17" t="s">
        <v>18</v>
      </c>
      <c r="C6" s="18">
        <v>112</v>
      </c>
      <c r="D6" s="19">
        <v>158</v>
      </c>
      <c r="E6" s="19"/>
      <c r="F6" s="20">
        <f>SUM(C6:E6)</f>
        <v>270</v>
      </c>
      <c r="G6" s="21"/>
      <c r="H6" s="22" t="s">
        <v>21</v>
      </c>
      <c r="I6" s="19"/>
      <c r="J6" s="19"/>
      <c r="K6" s="23">
        <f>SUM(I6:J6)</f>
        <v>0</v>
      </c>
      <c r="L6" s="24" t="s">
        <v>16</v>
      </c>
      <c r="N6" s="170">
        <v>419</v>
      </c>
      <c r="O6" s="170">
        <v>480</v>
      </c>
      <c r="P6" s="170">
        <v>538</v>
      </c>
      <c r="Q6" s="170">
        <v>596</v>
      </c>
      <c r="R6" s="170">
        <v>596</v>
      </c>
      <c r="S6" s="170">
        <v>596</v>
      </c>
      <c r="T6" s="170">
        <v>596</v>
      </c>
      <c r="U6" s="170">
        <v>596</v>
      </c>
      <c r="V6" s="170">
        <v>596</v>
      </c>
      <c r="W6" s="170">
        <v>596</v>
      </c>
      <c r="X6" s="170">
        <f>[1]Šaštín!X6+[1]Holíč!X6+'[1]Mor. Ján'!X6+[1]Lozorno!X6+[1]Sološnica!X6</f>
        <v>0</v>
      </c>
      <c r="Y6" s="170">
        <f>[1]Šaštín!Y6+[1]Holíč!Y6+'[1]Mor. Ján'!Y6+[1]Lozorno!Y6+[1]Sološnica!Y6</f>
        <v>0</v>
      </c>
    </row>
    <row r="7" spans="1:25" ht="13.5" thickBot="1" x14ac:dyDescent="0.25">
      <c r="A7" s="289" t="s">
        <v>6</v>
      </c>
      <c r="B7" s="291" t="s">
        <v>22</v>
      </c>
      <c r="C7" s="293">
        <f>SUM(C5:C6)</f>
        <v>1790</v>
      </c>
      <c r="D7" s="295">
        <f>SUM(D5:D6)</f>
        <v>510</v>
      </c>
      <c r="E7" s="295">
        <f>SUM(E5:E6)</f>
        <v>0</v>
      </c>
      <c r="F7" s="297">
        <f>SUM(C7:E7)</f>
        <v>2300</v>
      </c>
      <c r="G7" s="25"/>
      <c r="H7" s="26" t="s">
        <v>23</v>
      </c>
      <c r="I7" s="23">
        <f>I8-I4-I5-I6</f>
        <v>764</v>
      </c>
      <c r="J7" s="23">
        <f>J8-J4-J5-J6</f>
        <v>112</v>
      </c>
      <c r="K7" s="23">
        <f>SUM(I7:J7)</f>
        <v>876</v>
      </c>
      <c r="L7" s="27" t="s">
        <v>16</v>
      </c>
      <c r="N7" s="171">
        <f>N5+N6</f>
        <v>519</v>
      </c>
      <c r="O7" s="172">
        <f>O5+O6</f>
        <v>963</v>
      </c>
      <c r="P7" s="173">
        <f>SUM(P5:P6)</f>
        <v>1137</v>
      </c>
      <c r="Q7" s="173">
        <f t="shared" ref="Q7:Y7" si="0">SUM(Q5:Q6)</f>
        <v>1333</v>
      </c>
      <c r="R7" s="173">
        <f t="shared" si="0"/>
        <v>1348</v>
      </c>
      <c r="S7" s="173">
        <f t="shared" si="0"/>
        <v>1351</v>
      </c>
      <c r="T7" s="173">
        <f t="shared" si="0"/>
        <v>1351</v>
      </c>
      <c r="U7" s="173">
        <f t="shared" si="0"/>
        <v>1351</v>
      </c>
      <c r="V7" s="173">
        <f t="shared" si="0"/>
        <v>1351</v>
      </c>
      <c r="W7" s="173">
        <f t="shared" si="0"/>
        <v>1351</v>
      </c>
      <c r="X7" s="173">
        <f t="shared" si="0"/>
        <v>0</v>
      </c>
      <c r="Y7" s="174">
        <f t="shared" si="0"/>
        <v>0</v>
      </c>
    </row>
    <row r="8" spans="1:25" ht="13.5" thickBot="1" x14ac:dyDescent="0.25">
      <c r="A8" s="320"/>
      <c r="B8" s="321"/>
      <c r="C8" s="358"/>
      <c r="D8" s="359"/>
      <c r="E8" s="359"/>
      <c r="F8" s="360"/>
      <c r="G8" s="25"/>
      <c r="H8" s="28" t="s">
        <v>24</v>
      </c>
      <c r="I8" s="29">
        <f>F5</f>
        <v>2030</v>
      </c>
      <c r="J8" s="29">
        <f>F6</f>
        <v>270</v>
      </c>
      <c r="K8" s="29">
        <f>SUM(I8:J8)</f>
        <v>2300</v>
      </c>
      <c r="L8" s="30" t="s">
        <v>16</v>
      </c>
    </row>
    <row r="9" spans="1:25" ht="13.5" thickBot="1" x14ac:dyDescent="0.25">
      <c r="A9" s="31"/>
      <c r="B9" s="32"/>
      <c r="C9" s="268" t="s">
        <v>25</v>
      </c>
      <c r="D9" s="268"/>
      <c r="E9" s="268"/>
      <c r="F9" s="269"/>
      <c r="G9" s="21"/>
      <c r="H9" s="315"/>
      <c r="I9" s="316"/>
      <c r="J9" s="316"/>
      <c r="K9" s="316"/>
      <c r="L9" s="317"/>
      <c r="N9" s="341" t="s">
        <v>68</v>
      </c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</row>
    <row r="10" spans="1:25" x14ac:dyDescent="0.2">
      <c r="A10" s="16" t="s">
        <v>17</v>
      </c>
      <c r="B10" s="17" t="s">
        <v>18</v>
      </c>
      <c r="C10" s="18">
        <v>1778</v>
      </c>
      <c r="D10" s="19">
        <v>964</v>
      </c>
      <c r="E10" s="19">
        <v>532</v>
      </c>
      <c r="F10" s="20">
        <f>SUM(C10:E10)</f>
        <v>3274</v>
      </c>
      <c r="G10" s="21"/>
      <c r="H10" s="22" t="s">
        <v>15</v>
      </c>
      <c r="I10" s="19">
        <v>1172</v>
      </c>
      <c r="J10" s="19"/>
      <c r="K10" s="23">
        <f>SUM(I10:J10)</f>
        <v>1172</v>
      </c>
      <c r="L10" s="33">
        <v>74.73</v>
      </c>
      <c r="N10" s="169"/>
      <c r="O10" s="169"/>
      <c r="P10" s="169">
        <v>265</v>
      </c>
      <c r="Q10" s="169">
        <v>287</v>
      </c>
      <c r="R10" s="169">
        <v>346</v>
      </c>
      <c r="S10" s="169">
        <v>354</v>
      </c>
      <c r="T10" s="169">
        <v>359</v>
      </c>
      <c r="U10" s="169">
        <v>362</v>
      </c>
      <c r="V10" s="169">
        <v>362</v>
      </c>
      <c r="W10" s="169">
        <v>370</v>
      </c>
      <c r="X10" s="169">
        <f>[1]Šaštín!X10+[1]Holíč!X10+'[1]Mor. Ján'!X10+[1]Lozorno!X10+[1]Sološnica!X10</f>
        <v>0</v>
      </c>
      <c r="Y10" s="169">
        <f>[1]Šaštín!Y10+[1]Holíč!Y10+'[1]Mor. Ján'!Y10+[1]Lozorno!Y10+[1]Sološnica!Y10</f>
        <v>0</v>
      </c>
    </row>
    <row r="11" spans="1:25" ht="13.5" thickBot="1" x14ac:dyDescent="0.25">
      <c r="A11" s="34" t="s">
        <v>20</v>
      </c>
      <c r="B11" s="35" t="s">
        <v>18</v>
      </c>
      <c r="C11" s="36">
        <v>57</v>
      </c>
      <c r="D11" s="37">
        <v>248</v>
      </c>
      <c r="E11" s="37"/>
      <c r="F11" s="38">
        <f>SUM(C11:E11)</f>
        <v>305</v>
      </c>
      <c r="G11" s="21"/>
      <c r="H11" s="39" t="s">
        <v>19</v>
      </c>
      <c r="I11" s="37">
        <v>659</v>
      </c>
      <c r="J11" s="37">
        <v>69</v>
      </c>
      <c r="K11" s="40">
        <f>SUM(I11:J11)</f>
        <v>728</v>
      </c>
      <c r="L11" s="41">
        <v>53.93</v>
      </c>
      <c r="N11" s="170"/>
      <c r="O11" s="170">
        <v>5</v>
      </c>
      <c r="P11" s="170">
        <v>26</v>
      </c>
      <c r="Q11" s="170">
        <v>26</v>
      </c>
      <c r="R11" s="170">
        <v>37</v>
      </c>
      <c r="S11" s="170">
        <v>37</v>
      </c>
      <c r="T11" s="170">
        <v>43</v>
      </c>
      <c r="U11" s="170">
        <v>47</v>
      </c>
      <c r="V11" s="170">
        <v>47</v>
      </c>
      <c r="W11" s="170">
        <v>47</v>
      </c>
      <c r="X11" s="170">
        <f>[1]Šaštín!X11+[1]Holíč!X11+'[1]Mor. Ján'!X11+[1]Lozorno!X11+[1]Sološnica!X11</f>
        <v>0</v>
      </c>
      <c r="Y11" s="170">
        <f>[1]Šaštín!Y11+[1]Holíč!Y11+'[1]Mor. Ján'!Y11+[1]Lozorno!Y11+[1]Sološnica!Y11</f>
        <v>0</v>
      </c>
    </row>
    <row r="12" spans="1:25" ht="13.5" thickBot="1" x14ac:dyDescent="0.25">
      <c r="A12" s="42" t="s">
        <v>6</v>
      </c>
      <c r="B12" s="43" t="s">
        <v>22</v>
      </c>
      <c r="C12" s="44">
        <f>SUM(C10:C11)</f>
        <v>1835</v>
      </c>
      <c r="D12" s="45">
        <f>SUM(D10:D11)</f>
        <v>1212</v>
      </c>
      <c r="E12" s="45">
        <f>SUM(E10:E11)</f>
        <v>532</v>
      </c>
      <c r="F12" s="46">
        <f>SUM(C12:E12)</f>
        <v>3579</v>
      </c>
      <c r="G12" s="21"/>
      <c r="H12" s="22" t="s">
        <v>21</v>
      </c>
      <c r="I12" s="19">
        <v>1042</v>
      </c>
      <c r="J12" s="19">
        <v>133</v>
      </c>
      <c r="K12" s="23">
        <f>SUM(I12:J12)</f>
        <v>1175</v>
      </c>
      <c r="L12" s="33">
        <v>55.37</v>
      </c>
      <c r="N12" s="171">
        <f>N10+N11</f>
        <v>0</v>
      </c>
      <c r="O12" s="172">
        <f>O10+O11</f>
        <v>5</v>
      </c>
      <c r="P12" s="173">
        <f>SUM(P10:P11)</f>
        <v>291</v>
      </c>
      <c r="Q12" s="173">
        <f t="shared" ref="Q12:Y12" si="1">SUM(Q10:Q11)</f>
        <v>313</v>
      </c>
      <c r="R12" s="173">
        <f t="shared" si="1"/>
        <v>383</v>
      </c>
      <c r="S12" s="173">
        <f t="shared" si="1"/>
        <v>391</v>
      </c>
      <c r="T12" s="173">
        <f t="shared" si="1"/>
        <v>402</v>
      </c>
      <c r="U12" s="173">
        <f t="shared" si="1"/>
        <v>409</v>
      </c>
      <c r="V12" s="173">
        <f t="shared" si="1"/>
        <v>409</v>
      </c>
      <c r="W12" s="173">
        <f t="shared" si="1"/>
        <v>417</v>
      </c>
      <c r="X12" s="173">
        <f t="shared" si="1"/>
        <v>0</v>
      </c>
      <c r="Y12" s="174">
        <f t="shared" si="1"/>
        <v>0</v>
      </c>
    </row>
    <row r="13" spans="1:25" x14ac:dyDescent="0.2">
      <c r="A13" s="47" t="s">
        <v>26</v>
      </c>
      <c r="B13" s="48" t="s">
        <v>13</v>
      </c>
      <c r="C13" s="18">
        <v>123.06</v>
      </c>
      <c r="D13" s="19">
        <v>16.600000000000001</v>
      </c>
      <c r="E13" s="19">
        <v>68.3</v>
      </c>
      <c r="F13" s="49">
        <f>SUM(C13:E13)</f>
        <v>207.95999999999998</v>
      </c>
      <c r="G13" s="50"/>
      <c r="H13" s="22" t="s">
        <v>23</v>
      </c>
      <c r="I13" s="23">
        <f>I14-I10-I11-I12</f>
        <v>401</v>
      </c>
      <c r="J13" s="23">
        <f>J14-J10-J11-J12</f>
        <v>103</v>
      </c>
      <c r="K13" s="23">
        <f>SUM(I13:J13)</f>
        <v>504</v>
      </c>
      <c r="L13" s="51">
        <f>L14-L10-L11-L12</f>
        <v>23.929999999999957</v>
      </c>
      <c r="O13">
        <v>2</v>
      </c>
      <c r="P13">
        <v>26</v>
      </c>
      <c r="Q13">
        <v>38</v>
      </c>
      <c r="R13">
        <v>43</v>
      </c>
      <c r="S13">
        <v>43</v>
      </c>
      <c r="T13">
        <v>43</v>
      </c>
      <c r="U13">
        <v>43</v>
      </c>
      <c r="V13">
        <v>43</v>
      </c>
      <c r="W13">
        <v>48</v>
      </c>
      <c r="X13">
        <f>[1]Šaštín!X13+[1]Holíč!X13+'[1]Mor. Ján'!X13+[1]Lozorno!X13+[1]Sološnica!X13</f>
        <v>0</v>
      </c>
      <c r="Y13">
        <f>[1]Šaštín!Y13+[1]Holíč!Y13+'[1]Mor. Ján'!Y13+[1]Lozorno!Y13+[1]Sološnica!Y13</f>
        <v>0</v>
      </c>
    </row>
    <row r="14" spans="1:25" ht="13.5" thickBot="1" x14ac:dyDescent="0.25">
      <c r="A14" s="52" t="s">
        <v>27</v>
      </c>
      <c r="B14" s="53" t="s">
        <v>28</v>
      </c>
      <c r="C14" s="54">
        <f>IF(C13=0,0,ROUND((C12/C13),2))</f>
        <v>14.91</v>
      </c>
      <c r="D14" s="55">
        <f>IF(D13=0,0,ROUND((D12/D13),2))</f>
        <v>73.010000000000005</v>
      </c>
      <c r="E14" s="55">
        <f>IF(E13=0,0,ROUND((E12/E13),2))</f>
        <v>7.79</v>
      </c>
      <c r="F14" s="56">
        <f>IF(F13=0,0,ROUND((F12/F13),2))</f>
        <v>17.21</v>
      </c>
      <c r="G14" s="57"/>
      <c r="H14" s="58" t="s">
        <v>24</v>
      </c>
      <c r="I14" s="29">
        <f>F10</f>
        <v>3274</v>
      </c>
      <c r="J14" s="29">
        <f>F11</f>
        <v>305</v>
      </c>
      <c r="K14" s="29">
        <f>SUM(I14:J14)</f>
        <v>3579</v>
      </c>
      <c r="L14" s="59">
        <f>F13</f>
        <v>207.95999999999998</v>
      </c>
    </row>
    <row r="15" spans="1:25" ht="13.5" thickBot="1" x14ac:dyDescent="0.25">
      <c r="A15" s="31"/>
      <c r="B15" s="32"/>
      <c r="C15" s="268" t="s">
        <v>29</v>
      </c>
      <c r="D15" s="268"/>
      <c r="E15" s="268"/>
      <c r="F15" s="269"/>
      <c r="G15" s="21"/>
      <c r="H15" s="315"/>
      <c r="I15" s="316"/>
      <c r="J15" s="316"/>
      <c r="K15" s="316"/>
      <c r="L15" s="317"/>
      <c r="N15" s="341" t="s">
        <v>69</v>
      </c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</row>
    <row r="16" spans="1:25" x14ac:dyDescent="0.2">
      <c r="A16" s="16" t="s">
        <v>17</v>
      </c>
      <c r="B16" s="17" t="s">
        <v>18</v>
      </c>
      <c r="C16" s="18">
        <v>499</v>
      </c>
      <c r="D16" s="19">
        <v>473</v>
      </c>
      <c r="E16" s="19">
        <v>44</v>
      </c>
      <c r="F16" s="20">
        <f>SUM(C16:E16)</f>
        <v>1016</v>
      </c>
      <c r="G16" s="21"/>
      <c r="H16" s="22" t="s">
        <v>15</v>
      </c>
      <c r="I16" s="19">
        <v>187</v>
      </c>
      <c r="J16" s="19"/>
      <c r="K16" s="23">
        <f>SUM(I16:J16)</f>
        <v>187</v>
      </c>
      <c r="L16" s="33">
        <v>12.46</v>
      </c>
      <c r="N16" s="169"/>
      <c r="O16" s="169"/>
      <c r="P16" s="169">
        <v>42</v>
      </c>
      <c r="Q16" s="169">
        <v>42</v>
      </c>
      <c r="R16" s="169">
        <v>81</v>
      </c>
      <c r="S16" s="169">
        <v>89</v>
      </c>
      <c r="T16" s="169">
        <v>94</v>
      </c>
      <c r="U16" s="169">
        <v>97</v>
      </c>
      <c r="V16" s="169">
        <v>97</v>
      </c>
      <c r="W16" s="169">
        <v>105</v>
      </c>
      <c r="X16" s="169">
        <f>[1]Šaštín!X16+[1]Holíč!X16+'[1]Mor. Ján'!X16+[1]Lozorno!X16+[1]Sološnica!X16</f>
        <v>0</v>
      </c>
      <c r="Y16" s="169">
        <f>[1]Šaštín!Y16+[1]Holíč!Y16+'[1]Mor. Ján'!Y16+[1]Lozorno!Y16+[1]Sološnica!Y16</f>
        <v>0</v>
      </c>
    </row>
    <row r="17" spans="1:25" ht="13.5" thickBot="1" x14ac:dyDescent="0.25">
      <c r="A17" s="34" t="s">
        <v>20</v>
      </c>
      <c r="B17" s="35" t="s">
        <v>18</v>
      </c>
      <c r="C17" s="36">
        <v>2</v>
      </c>
      <c r="D17" s="37">
        <v>120</v>
      </c>
      <c r="E17" s="37"/>
      <c r="F17" s="38">
        <f>SUM(C17:E17)</f>
        <v>122</v>
      </c>
      <c r="G17" s="21"/>
      <c r="H17" s="39" t="s">
        <v>19</v>
      </c>
      <c r="I17" s="37">
        <v>457</v>
      </c>
      <c r="J17" s="37">
        <v>54</v>
      </c>
      <c r="K17" s="40">
        <f>SUM(I17:J17)</f>
        <v>511</v>
      </c>
      <c r="L17" s="41">
        <v>29.19</v>
      </c>
      <c r="N17" s="170"/>
      <c r="O17" s="170">
        <v>5</v>
      </c>
      <c r="P17" s="170">
        <v>13</v>
      </c>
      <c r="Q17" s="170">
        <v>13</v>
      </c>
      <c r="R17" s="170">
        <v>23</v>
      </c>
      <c r="S17" s="170">
        <v>23</v>
      </c>
      <c r="T17" s="170">
        <v>30</v>
      </c>
      <c r="U17" s="170">
        <v>34</v>
      </c>
      <c r="V17" s="170">
        <v>34</v>
      </c>
      <c r="W17" s="170">
        <v>34</v>
      </c>
      <c r="X17" s="170">
        <f>[1]Šaštín!X17+[1]Holíč!X17+'[1]Mor. Ján'!X17+[1]Lozorno!X17+[1]Sološnica!X17</f>
        <v>0</v>
      </c>
      <c r="Y17" s="170">
        <f>[1]Šaštín!Y17+[1]Holíč!Y17+'[1]Mor. Ján'!Y17+[1]Lozorno!Y17+[1]Sološnica!Y17</f>
        <v>0</v>
      </c>
    </row>
    <row r="18" spans="1:25" ht="13.5" thickBot="1" x14ac:dyDescent="0.25">
      <c r="A18" s="42" t="s">
        <v>6</v>
      </c>
      <c r="B18" s="43" t="s">
        <v>22</v>
      </c>
      <c r="C18" s="60">
        <f>SUM(C16:C17)</f>
        <v>501</v>
      </c>
      <c r="D18" s="61">
        <f>SUM(D16:D17)</f>
        <v>593</v>
      </c>
      <c r="E18" s="61">
        <f>SUM(E16:E17)</f>
        <v>44</v>
      </c>
      <c r="F18" s="20">
        <f>SUM(C18:E18)</f>
        <v>1138</v>
      </c>
      <c r="G18" s="21"/>
      <c r="H18" s="22" t="s">
        <v>21</v>
      </c>
      <c r="I18" s="19">
        <v>367</v>
      </c>
      <c r="J18" s="19">
        <v>47</v>
      </c>
      <c r="K18" s="23">
        <f>SUM(I18:J18)</f>
        <v>414</v>
      </c>
      <c r="L18" s="33">
        <v>22.58</v>
      </c>
      <c r="N18" s="171">
        <f>N16+N17</f>
        <v>0</v>
      </c>
      <c r="O18" s="172">
        <f>O16+O17</f>
        <v>5</v>
      </c>
      <c r="P18" s="173">
        <f>SUM(P16:P17)</f>
        <v>55</v>
      </c>
      <c r="Q18" s="173">
        <f t="shared" ref="Q18:Y18" si="2">SUM(Q16:Q17)</f>
        <v>55</v>
      </c>
      <c r="R18" s="173">
        <f t="shared" si="2"/>
        <v>104</v>
      </c>
      <c r="S18" s="173">
        <f t="shared" si="2"/>
        <v>112</v>
      </c>
      <c r="T18" s="173">
        <f t="shared" si="2"/>
        <v>124</v>
      </c>
      <c r="U18" s="173">
        <f t="shared" si="2"/>
        <v>131</v>
      </c>
      <c r="V18" s="173">
        <f t="shared" si="2"/>
        <v>131</v>
      </c>
      <c r="W18" s="173">
        <f t="shared" si="2"/>
        <v>139</v>
      </c>
      <c r="X18" s="173">
        <f t="shared" si="2"/>
        <v>0</v>
      </c>
      <c r="Y18" s="174">
        <f t="shared" si="2"/>
        <v>0</v>
      </c>
    </row>
    <row r="19" spans="1:25" x14ac:dyDescent="0.2">
      <c r="A19" s="47" t="s">
        <v>26</v>
      </c>
      <c r="B19" s="48" t="s">
        <v>13</v>
      </c>
      <c r="C19" s="18">
        <v>30.93</v>
      </c>
      <c r="D19" s="19">
        <v>28.36</v>
      </c>
      <c r="E19" s="19">
        <v>6.67</v>
      </c>
      <c r="F19" s="49">
        <f>SUM(C19:E19)</f>
        <v>65.959999999999994</v>
      </c>
      <c r="G19" s="50"/>
      <c r="H19" s="22" t="s">
        <v>23</v>
      </c>
      <c r="I19" s="23">
        <f>I20-I16-I17-I18</f>
        <v>5</v>
      </c>
      <c r="J19" s="23">
        <f>J20-J16-J17-J18</f>
        <v>21</v>
      </c>
      <c r="K19" s="23">
        <f>SUM(I19:J19)</f>
        <v>26</v>
      </c>
      <c r="L19" s="51">
        <f>L20-L16-L17-L18</f>
        <v>1.7299999999999933</v>
      </c>
      <c r="O19">
        <v>2</v>
      </c>
      <c r="P19">
        <v>8</v>
      </c>
      <c r="Q19">
        <v>8</v>
      </c>
      <c r="R19">
        <v>13</v>
      </c>
      <c r="S19">
        <v>13</v>
      </c>
      <c r="T19">
        <v>13</v>
      </c>
      <c r="U19">
        <v>13</v>
      </c>
      <c r="V19">
        <v>13</v>
      </c>
      <c r="W19">
        <v>19</v>
      </c>
      <c r="X19">
        <f>[1]Šaštín!X19+[1]Holíč!X19+'[1]Mor. Ján'!X19+[1]Lozorno!X19+[1]Sološnica!X19</f>
        <v>0</v>
      </c>
      <c r="Y19">
        <f>[1]Šaštín!Y19+[1]Holíč!Y19+'[1]Mor. Ján'!Y19+[1]Lozorno!Y19+[1]Sološnica!Y19</f>
        <v>0</v>
      </c>
    </row>
    <row r="20" spans="1:25" x14ac:dyDescent="0.2">
      <c r="A20" s="62" t="s">
        <v>27</v>
      </c>
      <c r="B20" s="63" t="s">
        <v>28</v>
      </c>
      <c r="C20" s="64">
        <f>IF(C19=0,0,ROUND((C18/C19),2))</f>
        <v>16.2</v>
      </c>
      <c r="D20" s="65">
        <f>IF(D19=0,0,ROUND((D18/D19),2))</f>
        <v>20.91</v>
      </c>
      <c r="E20" s="65">
        <f>IF(E19=0,0,ROUND((E18/E19),2))</f>
        <v>6.6</v>
      </c>
      <c r="F20" s="66">
        <f>IF(F19=0,0,ROUND((F18/F19),2))</f>
        <v>17.25</v>
      </c>
      <c r="G20" s="57"/>
      <c r="H20" s="58" t="s">
        <v>24</v>
      </c>
      <c r="I20" s="29">
        <f>F16</f>
        <v>1016</v>
      </c>
      <c r="J20" s="129">
        <f>F17</f>
        <v>122</v>
      </c>
      <c r="K20" s="29">
        <f>SUM(I20:J20)</f>
        <v>1138</v>
      </c>
      <c r="L20" s="59">
        <f>F19</f>
        <v>65.959999999999994</v>
      </c>
    </row>
    <row r="21" spans="1:25" ht="13.5" thickBot="1" x14ac:dyDescent="0.25">
      <c r="A21" s="318" t="s">
        <v>30</v>
      </c>
      <c r="B21" s="319"/>
      <c r="C21" s="67">
        <v>0</v>
      </c>
      <c r="D21" s="68">
        <v>0</v>
      </c>
      <c r="E21" s="68">
        <v>0</v>
      </c>
      <c r="F21" s="69">
        <f>SUM(C21:E21)</f>
        <v>0</v>
      </c>
      <c r="G21" s="21"/>
      <c r="H21" s="70"/>
      <c r="I21" s="71"/>
      <c r="J21" s="71"/>
      <c r="K21" s="71"/>
      <c r="L21" s="72"/>
    </row>
    <row r="22" spans="1:25" ht="13.5" thickBot="1" x14ac:dyDescent="0.25">
      <c r="A22" s="9"/>
      <c r="B22" s="10"/>
      <c r="C22" s="268" t="s">
        <v>31</v>
      </c>
      <c r="D22" s="268"/>
      <c r="E22" s="268"/>
      <c r="F22" s="269"/>
      <c r="G22" s="21"/>
      <c r="H22" s="12" t="s">
        <v>15</v>
      </c>
      <c r="I22" s="13">
        <v>2418</v>
      </c>
      <c r="J22" s="13">
        <v>149</v>
      </c>
      <c r="K22" s="14">
        <f>SUM(I22:J22)</f>
        <v>2567</v>
      </c>
      <c r="L22" s="15" t="s">
        <v>16</v>
      </c>
      <c r="N22" s="341" t="s">
        <v>70</v>
      </c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</row>
    <row r="23" spans="1:25" x14ac:dyDescent="0.2">
      <c r="A23" s="16" t="s">
        <v>17</v>
      </c>
      <c r="B23" s="17" t="s">
        <v>18</v>
      </c>
      <c r="C23" s="18">
        <v>6496</v>
      </c>
      <c r="D23" s="19">
        <v>1000</v>
      </c>
      <c r="E23" s="19"/>
      <c r="F23" s="20">
        <f>SUM(C23:E23)</f>
        <v>7496</v>
      </c>
      <c r="G23" s="21"/>
      <c r="H23" s="22" t="s">
        <v>19</v>
      </c>
      <c r="I23" s="19">
        <v>1785</v>
      </c>
      <c r="J23" s="19">
        <v>145</v>
      </c>
      <c r="K23" s="23">
        <f>SUM(I23:J23)</f>
        <v>1930</v>
      </c>
      <c r="L23" s="24" t="s">
        <v>16</v>
      </c>
      <c r="N23" s="169">
        <v>109</v>
      </c>
      <c r="O23" s="169">
        <v>524</v>
      </c>
      <c r="P23" s="169">
        <v>691</v>
      </c>
      <c r="Q23" s="169">
        <v>745</v>
      </c>
      <c r="R23" s="169">
        <v>1616</v>
      </c>
      <c r="S23" s="169">
        <v>4897</v>
      </c>
      <c r="T23" s="169">
        <v>9108</v>
      </c>
      <c r="U23" s="169">
        <v>11595</v>
      </c>
      <c r="V23" s="169">
        <v>14636</v>
      </c>
      <c r="W23" s="169">
        <v>17152</v>
      </c>
      <c r="X23" s="169">
        <f>[1]Šaštín!X23+[1]Holíč!X23+'[1]Mor. Ján'!X23+[1]Lozorno!X23+[1]Sološnica!X23+[1]Benuš!X23</f>
        <v>0</v>
      </c>
      <c r="Y23" s="169">
        <f>[1]Šaštín!Y23+[1]Holíč!Y23+'[1]Mor. Ján'!Y23+[1]Lozorno!Y23+[1]Sološnica!Y23+[1]Benuš!Y23</f>
        <v>0</v>
      </c>
    </row>
    <row r="24" spans="1:25" ht="13.5" thickBot="1" x14ac:dyDescent="0.25">
      <c r="A24" s="16" t="s">
        <v>20</v>
      </c>
      <c r="B24" s="17" t="s">
        <v>18</v>
      </c>
      <c r="C24" s="18">
        <v>325</v>
      </c>
      <c r="D24" s="19">
        <v>300</v>
      </c>
      <c r="E24" s="19"/>
      <c r="F24" s="20">
        <f>SUM(C24:E24)</f>
        <v>625</v>
      </c>
      <c r="G24" s="21"/>
      <c r="H24" s="22" t="s">
        <v>21</v>
      </c>
      <c r="I24" s="19">
        <v>1363</v>
      </c>
      <c r="J24" s="19">
        <v>166</v>
      </c>
      <c r="K24" s="23">
        <f>SUM(I24:J24)</f>
        <v>1529</v>
      </c>
      <c r="L24" s="24" t="s">
        <v>16</v>
      </c>
      <c r="N24" s="170"/>
      <c r="O24" s="170">
        <v>275</v>
      </c>
      <c r="P24" s="170">
        <v>287</v>
      </c>
      <c r="Q24" s="170">
        <v>299</v>
      </c>
      <c r="R24" s="170">
        <v>315</v>
      </c>
      <c r="S24" s="170">
        <v>354</v>
      </c>
      <c r="T24" s="170">
        <v>408</v>
      </c>
      <c r="U24" s="170">
        <v>408</v>
      </c>
      <c r="V24" s="170">
        <v>451</v>
      </c>
      <c r="W24" s="170">
        <v>581</v>
      </c>
      <c r="X24" s="170">
        <f>[1]Šaštín!X24+[1]Holíč!X24+'[1]Mor. Ján'!X24+[1]Lozorno!X24+[1]Sološnica!X24</f>
        <v>0</v>
      </c>
      <c r="Y24" s="170">
        <f>[1]Šaštín!Y24+[1]Holíč!Y24+'[1]Mor. Ján'!Y24+[1]Lozorno!Y24+[1]Sološnica!Y24</f>
        <v>0</v>
      </c>
    </row>
    <row r="25" spans="1:25" ht="13.5" thickBot="1" x14ac:dyDescent="0.25">
      <c r="A25" s="289" t="s">
        <v>6</v>
      </c>
      <c r="B25" s="291" t="s">
        <v>22</v>
      </c>
      <c r="C25" s="293">
        <f>SUM(C23:C24)</f>
        <v>6821</v>
      </c>
      <c r="D25" s="295">
        <f>SUM(D23:D24)</f>
        <v>1300</v>
      </c>
      <c r="E25" s="295">
        <f>SUM(E23:E24)</f>
        <v>0</v>
      </c>
      <c r="F25" s="297">
        <f>SUM(C25:E25)</f>
        <v>8121</v>
      </c>
      <c r="G25" s="25"/>
      <c r="H25" s="22" t="s">
        <v>23</v>
      </c>
      <c r="I25" s="132">
        <f>I26-I22-I23-I24</f>
        <v>1930</v>
      </c>
      <c r="J25" s="132">
        <f>J26-J22-J23-J24</f>
        <v>165</v>
      </c>
      <c r="K25" s="23">
        <f>SUM(I25:J25)</f>
        <v>2095</v>
      </c>
      <c r="L25" s="27" t="s">
        <v>16</v>
      </c>
      <c r="N25" s="171">
        <f>N23+N24</f>
        <v>109</v>
      </c>
      <c r="O25" s="172">
        <f>O23+O24</f>
        <v>799</v>
      </c>
      <c r="P25" s="173">
        <f>SUM(P23:P24)</f>
        <v>978</v>
      </c>
      <c r="Q25" s="173">
        <f t="shared" ref="Q25:Y25" si="3">SUM(Q23:Q24)</f>
        <v>1044</v>
      </c>
      <c r="R25" s="173">
        <f t="shared" si="3"/>
        <v>1931</v>
      </c>
      <c r="S25" s="173">
        <f t="shared" si="3"/>
        <v>5251</v>
      </c>
      <c r="T25" s="173">
        <f t="shared" si="3"/>
        <v>9516</v>
      </c>
      <c r="U25" s="173">
        <f t="shared" si="3"/>
        <v>12003</v>
      </c>
      <c r="V25" s="173">
        <f t="shared" si="3"/>
        <v>15087</v>
      </c>
      <c r="W25" s="173">
        <f t="shared" si="3"/>
        <v>17733</v>
      </c>
      <c r="X25" s="173">
        <f t="shared" si="3"/>
        <v>0</v>
      </c>
      <c r="Y25" s="174">
        <f t="shared" si="3"/>
        <v>0</v>
      </c>
    </row>
    <row r="26" spans="1:25" ht="13.5" thickBot="1" x14ac:dyDescent="0.25">
      <c r="A26" s="290"/>
      <c r="B26" s="292"/>
      <c r="C26" s="294"/>
      <c r="D26" s="296"/>
      <c r="E26" s="296"/>
      <c r="F26" s="298"/>
      <c r="G26" s="25"/>
      <c r="H26" s="73" t="s">
        <v>24</v>
      </c>
      <c r="I26" s="137">
        <f>F23</f>
        <v>7496</v>
      </c>
      <c r="J26" s="74">
        <f>F24</f>
        <v>625</v>
      </c>
      <c r="K26" s="74">
        <f>F25</f>
        <v>8121</v>
      </c>
      <c r="L26" s="75" t="s">
        <v>16</v>
      </c>
    </row>
    <row r="27" spans="1:25" ht="13.5" thickBot="1" x14ac:dyDescent="0.25">
      <c r="A27" s="9"/>
      <c r="B27" s="10"/>
      <c r="C27" s="268" t="s">
        <v>32</v>
      </c>
      <c r="D27" s="268"/>
      <c r="E27" s="268"/>
      <c r="F27" s="269"/>
      <c r="G27" s="21"/>
      <c r="H27" s="12" t="s">
        <v>15</v>
      </c>
      <c r="I27" s="13"/>
      <c r="J27" s="13"/>
      <c r="K27" s="14">
        <f t="shared" ref="K27:K40" si="4">SUM(I27:J27)</f>
        <v>0</v>
      </c>
      <c r="L27" s="15" t="s">
        <v>16</v>
      </c>
      <c r="N27" s="341" t="s">
        <v>71</v>
      </c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</row>
    <row r="28" spans="1:25" x14ac:dyDescent="0.2">
      <c r="A28" s="16" t="s">
        <v>17</v>
      </c>
      <c r="B28" s="17" t="s">
        <v>18</v>
      </c>
      <c r="C28" s="76">
        <v>600</v>
      </c>
      <c r="D28" s="19"/>
      <c r="E28" s="19"/>
      <c r="F28" s="20">
        <f>SUM(C28:E28)</f>
        <v>600</v>
      </c>
      <c r="G28" s="21"/>
      <c r="H28" s="22" t="s">
        <v>19</v>
      </c>
      <c r="I28" s="19"/>
      <c r="J28" s="19"/>
      <c r="K28" s="23">
        <f t="shared" si="4"/>
        <v>0</v>
      </c>
      <c r="L28" s="24" t="s">
        <v>16</v>
      </c>
      <c r="N28" s="169"/>
      <c r="O28" s="169"/>
      <c r="P28" s="169">
        <v>5</v>
      </c>
      <c r="Q28" s="169">
        <v>5</v>
      </c>
      <c r="R28" s="169">
        <v>5</v>
      </c>
      <c r="S28" s="169">
        <v>5</v>
      </c>
      <c r="T28" s="169">
        <v>5</v>
      </c>
      <c r="U28" s="169">
        <v>5</v>
      </c>
      <c r="V28" s="169">
        <v>5</v>
      </c>
      <c r="W28" s="169">
        <v>5</v>
      </c>
      <c r="X28" s="169">
        <f>[1]Šaštín!X28+[1]Holíč!X28+'[1]Mor. Ján'!X28+[1]Lozorno!X28+[1]Sološnica!X28</f>
        <v>0</v>
      </c>
      <c r="Y28" s="169">
        <f>[1]Šaštín!Y28+[1]Holíč!Y28+'[1]Mor. Ján'!Y28+[1]Lozorno!Y28+[1]Sološnica!Y28</f>
        <v>0</v>
      </c>
    </row>
    <row r="29" spans="1:25" ht="13.5" thickBot="1" x14ac:dyDescent="0.25">
      <c r="A29" s="16" t="s">
        <v>20</v>
      </c>
      <c r="B29" s="17" t="s">
        <v>18</v>
      </c>
      <c r="C29" s="76">
        <v>400</v>
      </c>
      <c r="D29" s="19"/>
      <c r="E29" s="19"/>
      <c r="F29" s="20">
        <f>SUM(C29:E29)</f>
        <v>400</v>
      </c>
      <c r="G29" s="21"/>
      <c r="H29" s="22" t="s">
        <v>21</v>
      </c>
      <c r="I29" s="19"/>
      <c r="J29" s="19"/>
      <c r="K29" s="23">
        <f t="shared" si="4"/>
        <v>0</v>
      </c>
      <c r="L29" s="24" t="s">
        <v>16</v>
      </c>
      <c r="N29" s="170"/>
      <c r="O29" s="170"/>
      <c r="P29" s="170"/>
      <c r="Q29" s="170"/>
      <c r="R29" s="170"/>
      <c r="S29" s="170"/>
      <c r="T29" s="170"/>
      <c r="U29" s="170"/>
      <c r="V29" s="170"/>
      <c r="W29" s="170">
        <f>[1]Šaštín!W29+[1]Holíč!W29+'[1]Mor. Ján'!W29+[1]Lozorno!W29+[1]Sološnica!W29</f>
        <v>0</v>
      </c>
      <c r="X29" s="170">
        <f>[1]Šaštín!X29+[1]Holíč!X29+'[1]Mor. Ján'!X29+[1]Lozorno!X29+[1]Sološnica!X29</f>
        <v>0</v>
      </c>
      <c r="Y29" s="170">
        <f>[1]Šaštín!Y29+[1]Holíč!Y29+'[1]Mor. Ján'!Y29+[1]Lozorno!Y29+[1]Sološnica!Y29</f>
        <v>0</v>
      </c>
    </row>
    <row r="30" spans="1:25" ht="13.5" thickBot="1" x14ac:dyDescent="0.25">
      <c r="A30" s="305" t="s">
        <v>6</v>
      </c>
      <c r="B30" s="307" t="s">
        <v>22</v>
      </c>
      <c r="C30" s="309">
        <f>SUM(C28:C29)</f>
        <v>1000</v>
      </c>
      <c r="D30" s="311">
        <f>SUM(D28:D29)</f>
        <v>0</v>
      </c>
      <c r="E30" s="311">
        <f>SUM(E28:E29)</f>
        <v>0</v>
      </c>
      <c r="F30" s="313">
        <f>SUM(C30:E30)</f>
        <v>1000</v>
      </c>
      <c r="G30" s="21"/>
      <c r="H30" s="22" t="s">
        <v>23</v>
      </c>
      <c r="I30" s="23">
        <f>I31-I27-I28-I29</f>
        <v>600</v>
      </c>
      <c r="J30" s="23">
        <f>J31-J27-J28-J29</f>
        <v>400</v>
      </c>
      <c r="K30" s="23">
        <f t="shared" si="4"/>
        <v>1000</v>
      </c>
      <c r="L30" s="27" t="s">
        <v>16</v>
      </c>
      <c r="N30" s="171">
        <f>N28+N29</f>
        <v>0</v>
      </c>
      <c r="O30" s="172">
        <f>O28+O29</f>
        <v>0</v>
      </c>
      <c r="P30" s="173">
        <f>SUM(P28:P29)</f>
        <v>5</v>
      </c>
      <c r="Q30" s="173">
        <f t="shared" ref="Q30:Y30" si="5">SUM(Q28:Q29)</f>
        <v>5</v>
      </c>
      <c r="R30" s="173">
        <f t="shared" si="5"/>
        <v>5</v>
      </c>
      <c r="S30" s="173">
        <f t="shared" si="5"/>
        <v>5</v>
      </c>
      <c r="T30" s="173">
        <f t="shared" si="5"/>
        <v>5</v>
      </c>
      <c r="U30" s="173">
        <f t="shared" si="5"/>
        <v>5</v>
      </c>
      <c r="V30" s="173">
        <f t="shared" si="5"/>
        <v>5</v>
      </c>
      <c r="W30" s="173">
        <f t="shared" si="5"/>
        <v>5</v>
      </c>
      <c r="X30" s="173">
        <f t="shared" si="5"/>
        <v>0</v>
      </c>
      <c r="Y30" s="174">
        <f t="shared" si="5"/>
        <v>0</v>
      </c>
    </row>
    <row r="31" spans="1:25" ht="13.5" thickBot="1" x14ac:dyDescent="0.25">
      <c r="A31" s="306"/>
      <c r="B31" s="308"/>
      <c r="C31" s="310"/>
      <c r="D31" s="312"/>
      <c r="E31" s="312"/>
      <c r="F31" s="314"/>
      <c r="G31" s="21"/>
      <c r="H31" s="73" t="s">
        <v>24</v>
      </c>
      <c r="I31" s="74">
        <f>F28</f>
        <v>600</v>
      </c>
      <c r="J31" s="74">
        <f>F29</f>
        <v>400</v>
      </c>
      <c r="K31" s="74">
        <f t="shared" si="4"/>
        <v>1000</v>
      </c>
      <c r="L31" s="75" t="s">
        <v>16</v>
      </c>
    </row>
    <row r="32" spans="1:25" ht="15.75" thickBot="1" x14ac:dyDescent="0.3">
      <c r="A32" s="9"/>
      <c r="B32" s="10"/>
      <c r="C32" s="268" t="s">
        <v>33</v>
      </c>
      <c r="D32" s="268"/>
      <c r="E32" s="268"/>
      <c r="F32" s="269"/>
      <c r="G32" s="21"/>
      <c r="H32" s="12" t="s">
        <v>15</v>
      </c>
      <c r="I32" s="14">
        <f t="shared" ref="I32:J34" si="6">SUM(I4,I10,I22,I27)</f>
        <v>4856</v>
      </c>
      <c r="J32" s="14">
        <f t="shared" si="6"/>
        <v>307</v>
      </c>
      <c r="K32" s="14">
        <f t="shared" si="4"/>
        <v>5163</v>
      </c>
      <c r="L32" s="15" t="s">
        <v>16</v>
      </c>
      <c r="N32" s="343" t="s">
        <v>72</v>
      </c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</row>
    <row r="33" spans="1:25" x14ac:dyDescent="0.2">
      <c r="A33" s="77" t="s">
        <v>17</v>
      </c>
      <c r="B33" s="78" t="s">
        <v>18</v>
      </c>
      <c r="C33" s="79">
        <f t="shared" ref="C33:E34" si="7">SUM(C5,C10,C23,C28)</f>
        <v>10552</v>
      </c>
      <c r="D33" s="23">
        <f t="shared" si="7"/>
        <v>2316</v>
      </c>
      <c r="E33" s="23">
        <f t="shared" si="7"/>
        <v>532</v>
      </c>
      <c r="F33" s="20">
        <f>SUM(C33:E33)</f>
        <v>13400</v>
      </c>
      <c r="G33" s="21"/>
      <c r="H33" s="22" t="s">
        <v>19</v>
      </c>
      <c r="I33" s="23">
        <f t="shared" si="6"/>
        <v>2444</v>
      </c>
      <c r="J33" s="23">
        <f t="shared" si="6"/>
        <v>214</v>
      </c>
      <c r="K33" s="23">
        <f t="shared" si="4"/>
        <v>2658</v>
      </c>
      <c r="L33" s="24" t="s">
        <v>16</v>
      </c>
      <c r="M33" s="165"/>
      <c r="N33" s="175">
        <f>N5+N10+N23+N28</f>
        <v>209</v>
      </c>
      <c r="O33" s="175">
        <f t="shared" ref="O33:Y34" si="8">O5+O10+O23+O28</f>
        <v>1007</v>
      </c>
      <c r="P33" s="175">
        <f t="shared" si="8"/>
        <v>1560</v>
      </c>
      <c r="Q33" s="175">
        <f t="shared" si="8"/>
        <v>1774</v>
      </c>
      <c r="R33" s="175">
        <f t="shared" si="8"/>
        <v>2719</v>
      </c>
      <c r="S33" s="175">
        <f t="shared" si="8"/>
        <v>6011</v>
      </c>
      <c r="T33" s="175">
        <f t="shared" si="8"/>
        <v>10227</v>
      </c>
      <c r="U33" s="175">
        <f t="shared" si="8"/>
        <v>12717</v>
      </c>
      <c r="V33" s="175">
        <f t="shared" si="8"/>
        <v>15758</v>
      </c>
      <c r="W33" s="175">
        <f t="shared" si="8"/>
        <v>18282</v>
      </c>
      <c r="X33" s="175">
        <f t="shared" si="8"/>
        <v>0</v>
      </c>
      <c r="Y33" s="175">
        <f t="shared" si="8"/>
        <v>0</v>
      </c>
    </row>
    <row r="34" spans="1:25" x14ac:dyDescent="0.2">
      <c r="A34" s="77" t="s">
        <v>20</v>
      </c>
      <c r="B34" s="78" t="s">
        <v>18</v>
      </c>
      <c r="C34" s="79">
        <f t="shared" si="7"/>
        <v>894</v>
      </c>
      <c r="D34" s="23">
        <f t="shared" si="7"/>
        <v>706</v>
      </c>
      <c r="E34" s="23">
        <f t="shared" si="7"/>
        <v>0</v>
      </c>
      <c r="F34" s="20">
        <f>SUM(C34:E34)</f>
        <v>1600</v>
      </c>
      <c r="G34" s="21"/>
      <c r="H34" s="22" t="s">
        <v>21</v>
      </c>
      <c r="I34" s="23">
        <f t="shared" si="6"/>
        <v>2405</v>
      </c>
      <c r="J34" s="23">
        <f t="shared" si="6"/>
        <v>299</v>
      </c>
      <c r="K34" s="23">
        <f t="shared" si="4"/>
        <v>2704</v>
      </c>
      <c r="L34" s="24" t="s">
        <v>16</v>
      </c>
      <c r="M34" s="165"/>
      <c r="N34" s="176">
        <f>N6+N11+N24+N29</f>
        <v>419</v>
      </c>
      <c r="O34" s="176">
        <f t="shared" si="8"/>
        <v>760</v>
      </c>
      <c r="P34" s="176">
        <f t="shared" si="8"/>
        <v>851</v>
      </c>
      <c r="Q34" s="176">
        <f t="shared" si="8"/>
        <v>921</v>
      </c>
      <c r="R34" s="176">
        <f t="shared" si="8"/>
        <v>948</v>
      </c>
      <c r="S34" s="176">
        <f t="shared" si="8"/>
        <v>987</v>
      </c>
      <c r="T34" s="176">
        <f t="shared" si="8"/>
        <v>1047</v>
      </c>
      <c r="U34" s="176">
        <f t="shared" si="8"/>
        <v>1051</v>
      </c>
      <c r="V34" s="176">
        <f t="shared" si="8"/>
        <v>1094</v>
      </c>
      <c r="W34" s="176">
        <f t="shared" si="8"/>
        <v>1224</v>
      </c>
      <c r="X34" s="176">
        <f t="shared" si="8"/>
        <v>0</v>
      </c>
      <c r="Y34" s="176">
        <f t="shared" si="8"/>
        <v>0</v>
      </c>
    </row>
    <row r="35" spans="1:25" ht="13.5" thickBot="1" x14ac:dyDescent="0.25">
      <c r="A35" s="289" t="s">
        <v>6</v>
      </c>
      <c r="B35" s="291" t="s">
        <v>22</v>
      </c>
      <c r="C35" s="293">
        <f>SUM(C33:C34)</f>
        <v>11446</v>
      </c>
      <c r="D35" s="295">
        <f>SUM(D33:D34)</f>
        <v>3022</v>
      </c>
      <c r="E35" s="295">
        <f>SUM(E33:E34)</f>
        <v>532</v>
      </c>
      <c r="F35" s="297">
        <f>SUM(C35:E35)</f>
        <v>15000</v>
      </c>
      <c r="G35" s="25"/>
      <c r="H35" s="22" t="s">
        <v>23</v>
      </c>
      <c r="I35" s="132">
        <f>SUM(I7,I13,I25,I30)</f>
        <v>3695</v>
      </c>
      <c r="J35" s="132">
        <f>SUM(J7,J13,J25,J30)</f>
        <v>780</v>
      </c>
      <c r="K35" s="23">
        <f t="shared" si="4"/>
        <v>4475</v>
      </c>
      <c r="L35" s="27" t="s">
        <v>16</v>
      </c>
      <c r="M35" s="165"/>
      <c r="N35" s="177">
        <f>N33+N34</f>
        <v>628</v>
      </c>
      <c r="O35" s="177">
        <f t="shared" ref="O35:Y35" si="9">O33+O34</f>
        <v>1767</v>
      </c>
      <c r="P35" s="177">
        <f t="shared" si="9"/>
        <v>2411</v>
      </c>
      <c r="Q35" s="177">
        <f t="shared" si="9"/>
        <v>2695</v>
      </c>
      <c r="R35" s="177">
        <f t="shared" si="9"/>
        <v>3667</v>
      </c>
      <c r="S35" s="177">
        <f t="shared" si="9"/>
        <v>6998</v>
      </c>
      <c r="T35" s="177">
        <f t="shared" si="9"/>
        <v>11274</v>
      </c>
      <c r="U35" s="177">
        <f t="shared" si="9"/>
        <v>13768</v>
      </c>
      <c r="V35" s="177">
        <f t="shared" si="9"/>
        <v>16852</v>
      </c>
      <c r="W35" s="177">
        <f t="shared" si="9"/>
        <v>19506</v>
      </c>
      <c r="X35" s="177">
        <f t="shared" si="9"/>
        <v>0</v>
      </c>
      <c r="Y35" s="177">
        <f t="shared" si="9"/>
        <v>0</v>
      </c>
    </row>
    <row r="36" spans="1:25" ht="13.5" thickBot="1" x14ac:dyDescent="0.25">
      <c r="A36" s="290"/>
      <c r="B36" s="292"/>
      <c r="C36" s="294"/>
      <c r="D36" s="296"/>
      <c r="E36" s="296"/>
      <c r="F36" s="298"/>
      <c r="G36" s="25"/>
      <c r="H36" s="73" t="s">
        <v>24</v>
      </c>
      <c r="I36" s="74">
        <f>SUM(I32:I35)</f>
        <v>13400</v>
      </c>
      <c r="J36" s="74">
        <f>SUM(J32:J35)</f>
        <v>1600</v>
      </c>
      <c r="K36" s="74">
        <f t="shared" si="4"/>
        <v>15000</v>
      </c>
      <c r="L36" s="75" t="s">
        <v>16</v>
      </c>
    </row>
    <row r="37" spans="1:25" ht="13.5" thickBot="1" x14ac:dyDescent="0.25">
      <c r="A37" s="9"/>
      <c r="B37" s="10"/>
      <c r="C37" s="268" t="s">
        <v>34</v>
      </c>
      <c r="D37" s="268"/>
      <c r="E37" s="268"/>
      <c r="F37" s="269"/>
      <c r="G37" s="21"/>
      <c r="H37" s="12" t="s">
        <v>15</v>
      </c>
      <c r="I37" s="13">
        <v>419</v>
      </c>
      <c r="J37" s="13">
        <v>99</v>
      </c>
      <c r="K37" s="14">
        <f>SUM(I37:J37)</f>
        <v>518</v>
      </c>
      <c r="L37" s="15" t="s">
        <v>16</v>
      </c>
      <c r="N37" s="341" t="s">
        <v>73</v>
      </c>
      <c r="O37" s="341"/>
      <c r="P37" s="341"/>
      <c r="Q37" s="341"/>
      <c r="R37" s="341"/>
      <c r="S37" s="341"/>
      <c r="T37" s="341"/>
      <c r="U37" s="341"/>
      <c r="V37" s="341"/>
      <c r="W37" s="341"/>
      <c r="X37" s="341"/>
      <c r="Y37" s="341"/>
    </row>
    <row r="38" spans="1:25" x14ac:dyDescent="0.2">
      <c r="A38" s="16" t="s">
        <v>17</v>
      </c>
      <c r="B38" s="17" t="s">
        <v>18</v>
      </c>
      <c r="C38" s="18">
        <v>700</v>
      </c>
      <c r="D38" s="19">
        <v>1000</v>
      </c>
      <c r="E38" s="19"/>
      <c r="F38" s="20">
        <f>SUM(C38:E38)</f>
        <v>1700</v>
      </c>
      <c r="G38" s="21"/>
      <c r="H38" s="22" t="s">
        <v>19</v>
      </c>
      <c r="I38" s="19">
        <v>424</v>
      </c>
      <c r="J38" s="19">
        <v>100</v>
      </c>
      <c r="K38" s="23">
        <f>SUM(I38:J38)</f>
        <v>524</v>
      </c>
      <c r="L38" s="24" t="s">
        <v>16</v>
      </c>
      <c r="N38" s="169">
        <v>9</v>
      </c>
      <c r="O38" s="169">
        <v>175</v>
      </c>
      <c r="P38" s="169">
        <v>273</v>
      </c>
      <c r="Q38" s="169">
        <v>276</v>
      </c>
      <c r="R38" s="169">
        <v>364</v>
      </c>
      <c r="S38" s="169">
        <v>439</v>
      </c>
      <c r="T38" s="169">
        <v>516</v>
      </c>
      <c r="U38" s="169">
        <v>596</v>
      </c>
      <c r="V38" s="169">
        <v>772</v>
      </c>
      <c r="W38" s="169">
        <v>1097</v>
      </c>
      <c r="X38" s="169">
        <f>[1]Šaštín!X38+[1]Holíč!X38+'[1]Mor. Ján'!X38+[1]Lozorno!X38+[1]Sološnica!X38</f>
        <v>0</v>
      </c>
      <c r="Y38" s="169">
        <f>[1]Šaštín!Y38+[1]Holíč!Y38+'[1]Mor. Ján'!Y38+[1]Lozorno!Y38+[1]Sološnica!Y38</f>
        <v>0</v>
      </c>
    </row>
    <row r="39" spans="1:25" ht="13.5" thickBot="1" x14ac:dyDescent="0.25">
      <c r="A39" s="16" t="s">
        <v>20</v>
      </c>
      <c r="B39" s="17" t="s">
        <v>18</v>
      </c>
      <c r="C39" s="18">
        <v>100</v>
      </c>
      <c r="D39" s="19">
        <v>300</v>
      </c>
      <c r="E39" s="19"/>
      <c r="F39" s="20">
        <f>SUM(C39:E39)</f>
        <v>400</v>
      </c>
      <c r="G39" s="21"/>
      <c r="H39" s="22" t="s">
        <v>21</v>
      </c>
      <c r="I39" s="19">
        <v>428</v>
      </c>
      <c r="J39" s="19">
        <v>101</v>
      </c>
      <c r="K39" s="23">
        <f>SUM(I39:J39)</f>
        <v>529</v>
      </c>
      <c r="L39" s="24" t="s">
        <v>16</v>
      </c>
      <c r="N39" s="170"/>
      <c r="O39" s="170">
        <v>30</v>
      </c>
      <c r="P39" s="170">
        <v>45</v>
      </c>
      <c r="Q39" s="170">
        <v>58</v>
      </c>
      <c r="R39" s="170">
        <v>84</v>
      </c>
      <c r="S39" s="170">
        <v>88</v>
      </c>
      <c r="T39" s="170">
        <v>105</v>
      </c>
      <c r="U39" s="170">
        <v>109</v>
      </c>
      <c r="V39" s="170">
        <v>147</v>
      </c>
      <c r="W39" s="170">
        <v>206</v>
      </c>
      <c r="X39" s="170">
        <f>[1]Šaštín!X39+[1]Holíč!X39+'[1]Mor. Ján'!X39+[1]Lozorno!X39+[1]Sološnica!X39</f>
        <v>0</v>
      </c>
      <c r="Y39" s="170">
        <f>[1]Šaštín!Y39+[1]Holíč!Y39+'[1]Mor. Ján'!Y39+[1]Lozorno!Y39+[1]Sološnica!Y39</f>
        <v>0</v>
      </c>
    </row>
    <row r="40" spans="1:25" ht="13.5" thickBot="1" x14ac:dyDescent="0.25">
      <c r="A40" s="289" t="s">
        <v>6</v>
      </c>
      <c r="B40" s="291" t="s">
        <v>22</v>
      </c>
      <c r="C40" s="293">
        <f>SUM(C38:C39)</f>
        <v>800</v>
      </c>
      <c r="D40" s="295">
        <f>SUM(D38:D39)</f>
        <v>1300</v>
      </c>
      <c r="E40" s="295">
        <f>SUM(E38:E39)</f>
        <v>0</v>
      </c>
      <c r="F40" s="297">
        <f>SUM(C40:E40)</f>
        <v>2100</v>
      </c>
      <c r="G40" s="25"/>
      <c r="H40" s="22" t="s">
        <v>23</v>
      </c>
      <c r="I40" s="23">
        <f>I41-I37-I38-I39</f>
        <v>429</v>
      </c>
      <c r="J40" s="23">
        <f>J41-J37-J38-J39</f>
        <v>100</v>
      </c>
      <c r="K40" s="23">
        <f t="shared" si="4"/>
        <v>529</v>
      </c>
      <c r="L40" s="27" t="s">
        <v>16</v>
      </c>
      <c r="N40" s="171">
        <f>N38+N39</f>
        <v>9</v>
      </c>
      <c r="O40" s="172">
        <f>O38+O39</f>
        <v>205</v>
      </c>
      <c r="P40" s="173">
        <f>SUM(P38:P39)</f>
        <v>318</v>
      </c>
      <c r="Q40" s="173">
        <f t="shared" ref="Q40:Y40" si="10">SUM(Q38:Q39)</f>
        <v>334</v>
      </c>
      <c r="R40" s="173">
        <f t="shared" si="10"/>
        <v>448</v>
      </c>
      <c r="S40" s="173">
        <f t="shared" si="10"/>
        <v>527</v>
      </c>
      <c r="T40" s="173">
        <f t="shared" si="10"/>
        <v>621</v>
      </c>
      <c r="U40" s="173">
        <f t="shared" si="10"/>
        <v>705</v>
      </c>
      <c r="V40" s="173">
        <f t="shared" si="10"/>
        <v>919</v>
      </c>
      <c r="W40" s="173">
        <f t="shared" si="10"/>
        <v>1303</v>
      </c>
      <c r="X40" s="173">
        <f t="shared" si="10"/>
        <v>0</v>
      </c>
      <c r="Y40" s="174">
        <f t="shared" si="10"/>
        <v>0</v>
      </c>
    </row>
    <row r="41" spans="1:25" ht="13.5" thickBot="1" x14ac:dyDescent="0.25">
      <c r="A41" s="290"/>
      <c r="B41" s="292"/>
      <c r="C41" s="294"/>
      <c r="D41" s="296"/>
      <c r="E41" s="296"/>
      <c r="F41" s="298"/>
      <c r="G41" s="25"/>
      <c r="H41" s="73" t="s">
        <v>24</v>
      </c>
      <c r="I41" s="74">
        <f>F38+F43</f>
        <v>1700</v>
      </c>
      <c r="J41" s="74">
        <f>F39</f>
        <v>400</v>
      </c>
      <c r="K41" s="74">
        <f>F40</f>
        <v>2100</v>
      </c>
      <c r="L41" s="75" t="s">
        <v>16</v>
      </c>
    </row>
    <row r="42" spans="1:25" ht="13.5" thickBot="1" x14ac:dyDescent="0.25">
      <c r="A42" s="9"/>
      <c r="B42" s="10"/>
      <c r="C42" s="268" t="s">
        <v>35</v>
      </c>
      <c r="D42" s="268"/>
      <c r="E42" s="268"/>
      <c r="F42" s="269"/>
      <c r="G42" s="21"/>
      <c r="H42" s="80"/>
      <c r="I42" s="81"/>
      <c r="J42" s="81"/>
      <c r="K42" s="82"/>
      <c r="L42" s="82"/>
    </row>
    <row r="43" spans="1:25" ht="18" thickBot="1" x14ac:dyDescent="0.3">
      <c r="A43" s="16" t="s">
        <v>17</v>
      </c>
      <c r="B43" s="17" t="s">
        <v>18</v>
      </c>
      <c r="C43" s="18"/>
      <c r="D43" s="19"/>
      <c r="E43" s="19">
        <v>0</v>
      </c>
      <c r="F43" s="20">
        <f t="shared" ref="F43:F48" si="11">SUM(C43:E43)</f>
        <v>0</v>
      </c>
      <c r="G43" s="21"/>
      <c r="H43" s="285" t="s">
        <v>36</v>
      </c>
      <c r="I43" s="268"/>
      <c r="J43" s="268"/>
      <c r="K43" s="268"/>
      <c r="L43" s="269"/>
      <c r="N43" s="343" t="s">
        <v>74</v>
      </c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</row>
    <row r="44" spans="1:25" x14ac:dyDescent="0.2">
      <c r="A44" s="16" t="s">
        <v>20</v>
      </c>
      <c r="B44" s="17" t="s">
        <v>18</v>
      </c>
      <c r="C44" s="18"/>
      <c r="D44" s="19"/>
      <c r="E44" s="19">
        <v>0</v>
      </c>
      <c r="F44" s="20">
        <f t="shared" si="11"/>
        <v>0</v>
      </c>
      <c r="G44" s="21"/>
      <c r="H44" s="22" t="s">
        <v>15</v>
      </c>
      <c r="I44" s="23">
        <f t="shared" ref="I44:J46" si="12">I32-I37</f>
        <v>4437</v>
      </c>
      <c r="J44" s="23">
        <f t="shared" si="12"/>
        <v>208</v>
      </c>
      <c r="K44" s="23">
        <f>SUM(I44:J44)</f>
        <v>4645</v>
      </c>
      <c r="L44" s="83" t="s">
        <v>16</v>
      </c>
      <c r="N44" s="175">
        <f>N33-N38</f>
        <v>200</v>
      </c>
      <c r="O44" s="175">
        <f t="shared" ref="O44:Y44" si="13">O33-O38</f>
        <v>832</v>
      </c>
      <c r="P44" s="175">
        <f t="shared" si="13"/>
        <v>1287</v>
      </c>
      <c r="Q44" s="175">
        <f t="shared" si="13"/>
        <v>1498</v>
      </c>
      <c r="R44" s="175">
        <f t="shared" si="13"/>
        <v>2355</v>
      </c>
      <c r="S44" s="175">
        <f t="shared" si="13"/>
        <v>5572</v>
      </c>
      <c r="T44" s="175">
        <f t="shared" si="13"/>
        <v>9711</v>
      </c>
      <c r="U44" s="175">
        <f t="shared" si="13"/>
        <v>12121</v>
      </c>
      <c r="V44" s="175">
        <f t="shared" si="13"/>
        <v>14986</v>
      </c>
      <c r="W44" s="175">
        <f t="shared" si="13"/>
        <v>17185</v>
      </c>
      <c r="X44" s="175">
        <f t="shared" si="13"/>
        <v>0</v>
      </c>
      <c r="Y44" s="175">
        <f t="shared" si="13"/>
        <v>0</v>
      </c>
    </row>
    <row r="45" spans="1:25" ht="13.5" thickBot="1" x14ac:dyDescent="0.25">
      <c r="A45" s="84" t="s">
        <v>6</v>
      </c>
      <c r="B45" s="85" t="s">
        <v>22</v>
      </c>
      <c r="C45" s="86">
        <f>SUM(C43:C44)</f>
        <v>0</v>
      </c>
      <c r="D45" s="74">
        <f>SUM(D43:D44)</f>
        <v>0</v>
      </c>
      <c r="E45" s="74">
        <f>SUM(E43:E44)</f>
        <v>0</v>
      </c>
      <c r="F45" s="69">
        <f t="shared" si="11"/>
        <v>0</v>
      </c>
      <c r="G45" s="21"/>
      <c r="H45" s="22" t="s">
        <v>19</v>
      </c>
      <c r="I45" s="23">
        <f t="shared" si="12"/>
        <v>2020</v>
      </c>
      <c r="J45" s="23">
        <f t="shared" si="12"/>
        <v>114</v>
      </c>
      <c r="K45" s="23">
        <f>SUM(I45:J45)</f>
        <v>2134</v>
      </c>
      <c r="L45" s="27" t="s">
        <v>16</v>
      </c>
      <c r="N45" s="176">
        <f>N34-N39</f>
        <v>419</v>
      </c>
      <c r="O45" s="176">
        <f t="shared" ref="O45:Y45" si="14">O34-O39</f>
        <v>730</v>
      </c>
      <c r="P45" s="176">
        <f t="shared" si="14"/>
        <v>806</v>
      </c>
      <c r="Q45" s="176">
        <f t="shared" si="14"/>
        <v>863</v>
      </c>
      <c r="R45" s="176">
        <f t="shared" si="14"/>
        <v>864</v>
      </c>
      <c r="S45" s="176">
        <f t="shared" si="14"/>
        <v>899</v>
      </c>
      <c r="T45" s="176">
        <f t="shared" si="14"/>
        <v>942</v>
      </c>
      <c r="U45" s="176">
        <f t="shared" si="14"/>
        <v>942</v>
      </c>
      <c r="V45" s="176">
        <f t="shared" si="14"/>
        <v>947</v>
      </c>
      <c r="W45" s="176">
        <f t="shared" si="14"/>
        <v>1018</v>
      </c>
      <c r="X45" s="176">
        <f t="shared" si="14"/>
        <v>0</v>
      </c>
      <c r="Y45" s="176">
        <f t="shared" si="14"/>
        <v>0</v>
      </c>
    </row>
    <row r="46" spans="1:25" ht="13.5" thickBot="1" x14ac:dyDescent="0.25">
      <c r="A46" s="87" t="s">
        <v>37</v>
      </c>
      <c r="B46" s="88" t="s">
        <v>13</v>
      </c>
      <c r="C46" s="89">
        <v>25.78</v>
      </c>
      <c r="D46" s="13">
        <v>58.49</v>
      </c>
      <c r="E46" s="13">
        <v>9.4600000000000009</v>
      </c>
      <c r="F46" s="90">
        <f t="shared" si="11"/>
        <v>93.730000000000018</v>
      </c>
      <c r="G46" s="21"/>
      <c r="H46" s="22" t="s">
        <v>21</v>
      </c>
      <c r="I46" s="23">
        <f t="shared" si="12"/>
        <v>1977</v>
      </c>
      <c r="J46" s="23">
        <f t="shared" si="12"/>
        <v>198</v>
      </c>
      <c r="K46" s="23">
        <f>SUM(I46:J46)</f>
        <v>2175</v>
      </c>
      <c r="L46" s="27" t="s">
        <v>16</v>
      </c>
      <c r="N46" s="177">
        <f>N44+N45</f>
        <v>619</v>
      </c>
      <c r="O46" s="177">
        <f t="shared" ref="O46:Y46" si="15">O44+O45</f>
        <v>1562</v>
      </c>
      <c r="P46" s="177">
        <f t="shared" si="15"/>
        <v>2093</v>
      </c>
      <c r="Q46" s="177">
        <f t="shared" si="15"/>
        <v>2361</v>
      </c>
      <c r="R46" s="177">
        <f t="shared" si="15"/>
        <v>3219</v>
      </c>
      <c r="S46" s="177">
        <f t="shared" si="15"/>
        <v>6471</v>
      </c>
      <c r="T46" s="177">
        <f t="shared" si="15"/>
        <v>10653</v>
      </c>
      <c r="U46" s="177">
        <f t="shared" si="15"/>
        <v>13063</v>
      </c>
      <c r="V46" s="177">
        <f t="shared" si="15"/>
        <v>15933</v>
      </c>
      <c r="W46" s="177">
        <f t="shared" si="15"/>
        <v>18203</v>
      </c>
      <c r="X46" s="177">
        <f t="shared" si="15"/>
        <v>0</v>
      </c>
      <c r="Y46" s="177">
        <f t="shared" si="15"/>
        <v>0</v>
      </c>
    </row>
    <row r="47" spans="1:25" x14ac:dyDescent="0.2">
      <c r="A47" s="91" t="s">
        <v>38</v>
      </c>
      <c r="B47" s="92" t="s">
        <v>13</v>
      </c>
      <c r="C47" s="18"/>
      <c r="D47" s="19">
        <v>18.82</v>
      </c>
      <c r="E47" s="19">
        <v>0.75</v>
      </c>
      <c r="F47" s="20">
        <f t="shared" si="11"/>
        <v>19.57</v>
      </c>
      <c r="G47" s="21"/>
      <c r="H47" s="22" t="s">
        <v>23</v>
      </c>
      <c r="I47" s="23">
        <f>I48-I44-I45-I46</f>
        <v>3266</v>
      </c>
      <c r="J47" s="23">
        <f>J48-J44-J45-J46</f>
        <v>680</v>
      </c>
      <c r="K47" s="23">
        <f>SUM(I47:J47)</f>
        <v>3946</v>
      </c>
      <c r="L47" s="27" t="s">
        <v>16</v>
      </c>
    </row>
    <row r="48" spans="1:25" ht="13.5" thickBot="1" x14ac:dyDescent="0.25">
      <c r="A48" s="93" t="s">
        <v>39</v>
      </c>
      <c r="B48" s="94" t="s">
        <v>13</v>
      </c>
      <c r="C48" s="67">
        <v>11.37</v>
      </c>
      <c r="D48" s="68">
        <v>10.85</v>
      </c>
      <c r="E48" s="68"/>
      <c r="F48" s="69">
        <f t="shared" si="11"/>
        <v>22.22</v>
      </c>
      <c r="G48" s="21"/>
      <c r="H48" s="73" t="s">
        <v>24</v>
      </c>
      <c r="I48" s="74">
        <f>I36-I41</f>
        <v>11700</v>
      </c>
      <c r="J48" s="74">
        <f>J36-J41</f>
        <v>1200</v>
      </c>
      <c r="K48" s="74">
        <f>SUM(I48:J48)</f>
        <v>12900</v>
      </c>
      <c r="L48" s="75" t="s">
        <v>16</v>
      </c>
    </row>
    <row r="49" spans="1:25" ht="15.75" thickBot="1" x14ac:dyDescent="0.3">
      <c r="A49" s="130" t="s">
        <v>100</v>
      </c>
      <c r="B49" s="130"/>
      <c r="C49" s="130"/>
      <c r="D49" s="130"/>
      <c r="E49" s="130"/>
      <c r="F49" s="130"/>
      <c r="G49" s="81"/>
      <c r="H49" s="80"/>
      <c r="I49" s="81"/>
      <c r="J49" s="81"/>
      <c r="K49" s="82"/>
      <c r="L49" s="82"/>
      <c r="N49" s="342" t="s">
        <v>75</v>
      </c>
      <c r="O49" s="342"/>
      <c r="P49" s="342"/>
      <c r="Q49" s="342"/>
      <c r="R49" s="342"/>
      <c r="S49" s="342"/>
      <c r="T49" s="342"/>
      <c r="U49" s="342"/>
      <c r="V49" s="342"/>
      <c r="W49" s="342"/>
      <c r="X49" s="342"/>
      <c r="Y49" s="342"/>
    </row>
    <row r="50" spans="1:25" x14ac:dyDescent="0.2">
      <c r="A50" s="9"/>
      <c r="B50" s="10"/>
      <c r="C50" s="268" t="s">
        <v>14</v>
      </c>
      <c r="D50" s="268"/>
      <c r="E50" s="268"/>
      <c r="F50" s="269"/>
      <c r="G50" s="95"/>
      <c r="H50" s="96" t="s">
        <v>40</v>
      </c>
      <c r="I50" s="286" t="s">
        <v>41</v>
      </c>
      <c r="J50" s="286"/>
      <c r="K50" s="287" t="s">
        <v>42</v>
      </c>
      <c r="L50" s="288"/>
      <c r="N50" s="236">
        <f>N44/((I44)*1/3)</f>
        <v>0.13522650439486139</v>
      </c>
      <c r="O50" s="236">
        <f>O44/((I44)*2/3)</f>
        <v>0.28127112914131169</v>
      </c>
      <c r="P50" s="236">
        <f>P44/((I44)*3/3)</f>
        <v>0.29006085192697767</v>
      </c>
      <c r="Q50" s="236">
        <f>Q44/((I44+I45)*4/6)</f>
        <v>0.34799442465541269</v>
      </c>
      <c r="R50" s="236">
        <f>R44/((I44+I45)*5/6)</f>
        <v>0.43766455010066596</v>
      </c>
      <c r="S50" s="236">
        <f>S44/((I44+I45)*6/6)</f>
        <v>0.86293944556295499</v>
      </c>
      <c r="T50" s="236">
        <f>T44/(I44+I45+(I46*1/3))</f>
        <v>1.3646711635750421</v>
      </c>
      <c r="U50" s="236">
        <f>U44/(I44+I45+(I46*2/3))</f>
        <v>1.5589710610932477</v>
      </c>
      <c r="V50" s="236">
        <f>V44/(I44+I45+(I46*3/3))</f>
        <v>1.7768555845387717</v>
      </c>
      <c r="W50" s="236">
        <f>W44/(I44+I45+I46+(I47*1/3))</f>
        <v>1.8046415569868386</v>
      </c>
      <c r="X50" s="175"/>
      <c r="Y50" s="175">
        <f t="shared" ref="Y50:Y51" si="16">Y22+Y27+Y40+Y45</f>
        <v>0</v>
      </c>
    </row>
    <row r="51" spans="1:25" ht="14.25" x14ac:dyDescent="0.2">
      <c r="A51" s="16" t="s">
        <v>17</v>
      </c>
      <c r="B51" s="92" t="s">
        <v>43</v>
      </c>
      <c r="C51" s="18">
        <v>4678</v>
      </c>
      <c r="D51" s="19"/>
      <c r="E51" s="19">
        <v>352</v>
      </c>
      <c r="F51" s="51">
        <f>SUM(C51:E51)</f>
        <v>5030</v>
      </c>
      <c r="G51" s="95"/>
      <c r="H51" s="22" t="s">
        <v>15</v>
      </c>
      <c r="I51" s="353">
        <v>24.99</v>
      </c>
      <c r="J51" s="356"/>
      <c r="K51" s="353"/>
      <c r="L51" s="355"/>
      <c r="N51" s="237">
        <f>N45/((J44)*1/3)</f>
        <v>6.0432692307692308</v>
      </c>
      <c r="O51" s="237">
        <f>O45/((J44)*2/3)</f>
        <v>5.2644230769230775</v>
      </c>
      <c r="P51" s="237">
        <f>P45/((J44)*3/3)</f>
        <v>3.875</v>
      </c>
      <c r="Q51" s="237">
        <f>Q45/((J44+J45)*4/6)</f>
        <v>4.0201863354037268</v>
      </c>
      <c r="R51" s="237">
        <f>R45/((J44+J45)*5/6)</f>
        <v>3.2198757763975157</v>
      </c>
      <c r="S51" s="237">
        <f>S45/((J44+J45)*6/6)</f>
        <v>2.7919254658385095</v>
      </c>
      <c r="T51" s="237">
        <f>T45/(J44+J45+(J46*1/3))</f>
        <v>2.4278350515463916</v>
      </c>
      <c r="U51" s="237">
        <f>U45/(J44+J45+(J46*2/3))</f>
        <v>2.0748898678414096</v>
      </c>
      <c r="V51" s="237">
        <f>V45/(J44+J45+(J46*3/3))</f>
        <v>1.8211538461538461</v>
      </c>
      <c r="W51" s="237">
        <f>W45/(J44+J45+J46+(J47*1/3))</f>
        <v>1.3633928571428573</v>
      </c>
      <c r="X51" s="176"/>
      <c r="Y51" s="176">
        <f t="shared" si="16"/>
        <v>0</v>
      </c>
    </row>
    <row r="52" spans="1:25" ht="15" thickBot="1" x14ac:dyDescent="0.25">
      <c r="A52" s="16" t="s">
        <v>20</v>
      </c>
      <c r="B52" s="92" t="s">
        <v>43</v>
      </c>
      <c r="C52" s="18">
        <v>112</v>
      </c>
      <c r="D52" s="19"/>
      <c r="E52" s="19">
        <v>158</v>
      </c>
      <c r="F52" s="51">
        <f>SUM(C52:E52)</f>
        <v>270</v>
      </c>
      <c r="G52" s="95"/>
      <c r="H52" s="22" t="s">
        <v>19</v>
      </c>
      <c r="I52" s="353">
        <v>49.17</v>
      </c>
      <c r="J52" s="356"/>
      <c r="K52" s="353"/>
      <c r="L52" s="355"/>
      <c r="N52" s="238">
        <f>N46/((K44)*1/3)</f>
        <v>0.39978471474703986</v>
      </c>
      <c r="O52" s="238">
        <f>O46/((K44)*2/3)</f>
        <v>0.50441334768568358</v>
      </c>
      <c r="P52" s="238">
        <f>P46/((K44)*3/3)</f>
        <v>0.4505920344456405</v>
      </c>
      <c r="Q52" s="238">
        <f>Q46/((K44+K45)*4/6)</f>
        <v>0.52242218616315095</v>
      </c>
      <c r="R52" s="238">
        <f>R46/((K44+K45)*5/6)</f>
        <v>0.56981855730933761</v>
      </c>
      <c r="S52" s="238">
        <f>S46/((K44+K45)*6/6)</f>
        <v>0.95456557014308896</v>
      </c>
      <c r="T52" s="238">
        <f>T46/(K44+K45+(K46*1/3))</f>
        <v>1.4196428571428572</v>
      </c>
      <c r="U52" s="238">
        <f>U46/(K44+K45+(K46*2/3))</f>
        <v>1.587434682221412</v>
      </c>
      <c r="V52" s="238">
        <f>V46/(K44+K45+(K46*3/3))</f>
        <v>1.7794281885190977</v>
      </c>
      <c r="W52" s="238">
        <f>W46/(K44+K45+K46+(K47*1/3))</f>
        <v>1.7725590755647882</v>
      </c>
      <c r="X52" s="177">
        <f t="shared" ref="X52:Y52" si="17">X50+X51</f>
        <v>0</v>
      </c>
      <c r="Y52" s="177">
        <f t="shared" si="17"/>
        <v>0</v>
      </c>
    </row>
    <row r="53" spans="1:25" ht="15" thickBot="1" x14ac:dyDescent="0.25">
      <c r="A53" s="97" t="s">
        <v>6</v>
      </c>
      <c r="B53" s="98" t="s">
        <v>43</v>
      </c>
      <c r="C53" s="99">
        <f>SUM(C51:C52)</f>
        <v>4790</v>
      </c>
      <c r="D53" s="100">
        <f>SUM(D51:D52)</f>
        <v>0</v>
      </c>
      <c r="E53" s="100">
        <f>SUM(E51:E52)</f>
        <v>510</v>
      </c>
      <c r="F53" s="101">
        <f>SUM(C53:E53)</f>
        <v>5300</v>
      </c>
      <c r="G53" s="102"/>
      <c r="H53" s="22" t="s">
        <v>21</v>
      </c>
      <c r="I53" s="353">
        <v>6.45</v>
      </c>
      <c r="J53" s="356"/>
      <c r="K53" s="353">
        <v>6.45</v>
      </c>
      <c r="L53" s="355"/>
    </row>
    <row r="54" spans="1:25" x14ac:dyDescent="0.2">
      <c r="A54" s="9"/>
      <c r="B54" s="10"/>
      <c r="C54" s="268" t="s">
        <v>25</v>
      </c>
      <c r="D54" s="268"/>
      <c r="E54" s="268"/>
      <c r="F54" s="269"/>
      <c r="G54" s="95"/>
      <c r="H54" s="22" t="s">
        <v>23</v>
      </c>
      <c r="I54" s="346">
        <f>I55-I51-I52-I53</f>
        <v>13.120000000000022</v>
      </c>
      <c r="J54" s="357"/>
      <c r="K54" s="346">
        <f>K55-K51-K52-K53</f>
        <v>13.120000000000001</v>
      </c>
      <c r="L54" s="357"/>
    </row>
    <row r="55" spans="1:25" ht="15.75" thickBot="1" x14ac:dyDescent="0.3">
      <c r="A55" s="16" t="s">
        <v>17</v>
      </c>
      <c r="B55" s="92" t="s">
        <v>43</v>
      </c>
      <c r="C55" s="18">
        <v>8778</v>
      </c>
      <c r="D55" s="19">
        <v>1140</v>
      </c>
      <c r="E55" s="19">
        <v>1356</v>
      </c>
      <c r="F55" s="51">
        <f>SUM(C55:E55)</f>
        <v>11274</v>
      </c>
      <c r="G55" s="95"/>
      <c r="H55" s="73" t="s">
        <v>24</v>
      </c>
      <c r="I55" s="349">
        <f>F46</f>
        <v>93.730000000000018</v>
      </c>
      <c r="J55" s="284"/>
      <c r="K55" s="349">
        <f>F47</f>
        <v>19.57</v>
      </c>
      <c r="L55" s="351"/>
      <c r="N55" s="342" t="s">
        <v>76</v>
      </c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</row>
    <row r="56" spans="1:25" ht="15" thickBot="1" x14ac:dyDescent="0.25">
      <c r="A56" s="16" t="s">
        <v>20</v>
      </c>
      <c r="B56" s="92" t="s">
        <v>43</v>
      </c>
      <c r="C56" s="18">
        <v>58</v>
      </c>
      <c r="D56" s="19">
        <v>44</v>
      </c>
      <c r="E56" s="19">
        <v>204</v>
      </c>
      <c r="F56" s="51">
        <f>SUM(C56:E56)</f>
        <v>306</v>
      </c>
      <c r="G56" s="95"/>
      <c r="H56" s="103"/>
      <c r="I56" s="95"/>
      <c r="J56" s="95"/>
      <c r="K56" s="82"/>
      <c r="L56" s="82"/>
      <c r="N56" s="232">
        <f>N44/I48</f>
        <v>1.7094017094017096E-2</v>
      </c>
      <c r="O56" s="232">
        <f>O44/I48</f>
        <v>7.1111111111111111E-2</v>
      </c>
      <c r="P56" s="232">
        <f>P44/I48</f>
        <v>0.11</v>
      </c>
      <c r="Q56" s="232">
        <f>Q44/I48</f>
        <v>0.12803418803418803</v>
      </c>
      <c r="R56" s="232">
        <f>R44/I48</f>
        <v>0.20128205128205129</v>
      </c>
      <c r="S56" s="232">
        <f>S44/I48</f>
        <v>0.47623931623931626</v>
      </c>
      <c r="T56" s="232">
        <f>T44/I48</f>
        <v>0.83</v>
      </c>
      <c r="U56" s="232">
        <f>U44/I48</f>
        <v>1.035982905982906</v>
      </c>
      <c r="V56" s="232">
        <f>V44/I48</f>
        <v>1.2808547008547009</v>
      </c>
      <c r="W56" s="232">
        <f>W44/I48</f>
        <v>1.4688034188034189</v>
      </c>
      <c r="X56" s="175"/>
      <c r="Y56" s="175">
        <f t="shared" ref="Y56:Y57" si="18">Y28+Y33+Y46+Y51</f>
        <v>0</v>
      </c>
    </row>
    <row r="57" spans="1:25" ht="14.25" x14ac:dyDescent="0.2">
      <c r="A57" s="77" t="s">
        <v>6</v>
      </c>
      <c r="B57" s="27" t="s">
        <v>43</v>
      </c>
      <c r="C57" s="79">
        <f>SUM(C55:C56)</f>
        <v>8836</v>
      </c>
      <c r="D57" s="23">
        <f>SUM(D55:D56)</f>
        <v>1184</v>
      </c>
      <c r="E57" s="23">
        <f>SUM(E55:E56)</f>
        <v>1560</v>
      </c>
      <c r="F57" s="104">
        <f>SUM(C57:E57)</f>
        <v>11580</v>
      </c>
      <c r="G57" s="102"/>
      <c r="H57" s="96" t="s">
        <v>40</v>
      </c>
      <c r="I57" s="267" t="s">
        <v>39</v>
      </c>
      <c r="J57" s="268"/>
      <c r="K57" s="268"/>
      <c r="L57" s="269"/>
      <c r="N57" s="233">
        <f>N45/J48</f>
        <v>0.34916666666666668</v>
      </c>
      <c r="O57" s="233">
        <f>O45/J48</f>
        <v>0.60833333333333328</v>
      </c>
      <c r="P57" s="233">
        <f>P45/J48</f>
        <v>0.67166666666666663</v>
      </c>
      <c r="Q57" s="233">
        <f>Q45/J48</f>
        <v>0.71916666666666662</v>
      </c>
      <c r="R57" s="233">
        <f>R45/J48</f>
        <v>0.72</v>
      </c>
      <c r="S57" s="233">
        <f>S45/J48</f>
        <v>0.74916666666666665</v>
      </c>
      <c r="T57" s="233">
        <f>T45/J48</f>
        <v>0.78500000000000003</v>
      </c>
      <c r="U57" s="233">
        <f>U45/J48</f>
        <v>0.78500000000000003</v>
      </c>
      <c r="V57" s="233">
        <f>V45/J48</f>
        <v>0.78916666666666668</v>
      </c>
      <c r="W57" s="233">
        <f>W45/J48</f>
        <v>0.84833333333333338</v>
      </c>
      <c r="X57" s="176"/>
      <c r="Y57" s="176">
        <f t="shared" si="18"/>
        <v>0</v>
      </c>
    </row>
    <row r="58" spans="1:25" ht="13.5" thickBot="1" x14ac:dyDescent="0.25">
      <c r="A58" s="47" t="s">
        <v>26</v>
      </c>
      <c r="B58" s="48" t="s">
        <v>13</v>
      </c>
      <c r="C58" s="105">
        <v>123.06</v>
      </c>
      <c r="D58" s="106">
        <v>16.600000000000001</v>
      </c>
      <c r="E58" s="106">
        <v>68.3</v>
      </c>
      <c r="F58" s="107">
        <f>SUM(C58:E58)</f>
        <v>207.95999999999998</v>
      </c>
      <c r="G58" s="108"/>
      <c r="H58" s="22" t="s">
        <v>15</v>
      </c>
      <c r="I58" s="353"/>
      <c r="J58" s="354"/>
      <c r="K58" s="354"/>
      <c r="L58" s="355"/>
      <c r="N58" s="231">
        <f>N46/K48</f>
        <v>4.7984496124031009E-2</v>
      </c>
      <c r="O58" s="231">
        <f>O46/K48</f>
        <v>0.12108527131782945</v>
      </c>
      <c r="P58" s="231">
        <f>P46/K48</f>
        <v>0.16224806201550387</v>
      </c>
      <c r="Q58" s="231">
        <f>Q46/K48</f>
        <v>0.18302325581395348</v>
      </c>
      <c r="R58" s="231">
        <f>R46/K48</f>
        <v>0.24953488372093025</v>
      </c>
      <c r="S58" s="231">
        <f>S46/K48</f>
        <v>0.5016279069767442</v>
      </c>
      <c r="T58" s="231">
        <f>T46/K48</f>
        <v>0.82581395348837205</v>
      </c>
      <c r="U58" s="231">
        <f>U46/K48</f>
        <v>1.0126356589147287</v>
      </c>
      <c r="V58" s="231">
        <f>V46/K48</f>
        <v>1.2351162790697674</v>
      </c>
      <c r="W58" s="231">
        <f>W46/K48</f>
        <v>1.4110852713178295</v>
      </c>
      <c r="X58" s="177">
        <f t="shared" ref="X58:Y58" si="19">X56+X57</f>
        <v>0</v>
      </c>
      <c r="Y58" s="177">
        <f t="shared" si="19"/>
        <v>0</v>
      </c>
    </row>
    <row r="59" spans="1:25" ht="13.5" thickBot="1" x14ac:dyDescent="0.25">
      <c r="A59" s="109" t="s">
        <v>27</v>
      </c>
      <c r="B59" s="110" t="s">
        <v>28</v>
      </c>
      <c r="C59" s="111">
        <f>IF(C58=0,0,ROUND((C57/C58),2))</f>
        <v>71.8</v>
      </c>
      <c r="D59" s="112">
        <f>IF(D58=0,0,ROUND((D57/D58),2))</f>
        <v>71.33</v>
      </c>
      <c r="E59" s="112">
        <f>IF(E58=0,0,ROUND((E57/E58),2))</f>
        <v>22.84</v>
      </c>
      <c r="F59" s="113">
        <f>IF(F58=0,0,ROUND((F57/F58),2))</f>
        <v>55.68</v>
      </c>
      <c r="G59" s="114"/>
      <c r="H59" s="22" t="s">
        <v>19</v>
      </c>
      <c r="I59" s="353"/>
      <c r="J59" s="354"/>
      <c r="K59" s="354"/>
      <c r="L59" s="355"/>
    </row>
    <row r="60" spans="1:25" x14ac:dyDescent="0.2">
      <c r="A60" s="9"/>
      <c r="B60" s="10"/>
      <c r="C60" s="268" t="s">
        <v>29</v>
      </c>
      <c r="D60" s="268"/>
      <c r="E60" s="268"/>
      <c r="F60" s="269"/>
      <c r="G60" s="95"/>
      <c r="H60" s="22" t="s">
        <v>21</v>
      </c>
      <c r="I60" s="353">
        <v>21.97</v>
      </c>
      <c r="J60" s="354"/>
      <c r="K60" s="354"/>
      <c r="L60" s="355"/>
    </row>
    <row r="61" spans="1:25" ht="15.75" thickBot="1" x14ac:dyDescent="0.25">
      <c r="A61" s="16" t="s">
        <v>44</v>
      </c>
      <c r="B61" s="92" t="s">
        <v>43</v>
      </c>
      <c r="C61" s="18">
        <v>499</v>
      </c>
      <c r="D61" s="19"/>
      <c r="E61" s="19">
        <v>517</v>
      </c>
      <c r="F61" s="51">
        <f>SUM(C61:E61)</f>
        <v>1016</v>
      </c>
      <c r="G61" s="95"/>
      <c r="H61" s="22" t="s">
        <v>23</v>
      </c>
      <c r="I61" s="346">
        <f>I62-I58-I59-I60</f>
        <v>0.25</v>
      </c>
      <c r="J61" s="347"/>
      <c r="K61" s="347"/>
      <c r="L61" s="348"/>
      <c r="N61" s="270" t="s">
        <v>96</v>
      </c>
      <c r="O61" s="270"/>
      <c r="P61" s="270"/>
      <c r="Q61" s="270"/>
      <c r="R61" s="270"/>
      <c r="S61" s="270"/>
      <c r="T61" s="270"/>
      <c r="U61" s="270"/>
      <c r="V61" s="270"/>
      <c r="W61" s="270"/>
      <c r="X61" s="270"/>
      <c r="Y61" s="270"/>
    </row>
    <row r="62" spans="1:25" ht="15" thickBot="1" x14ac:dyDescent="0.25">
      <c r="A62" s="16" t="s">
        <v>45</v>
      </c>
      <c r="B62" s="92" t="s">
        <v>43</v>
      </c>
      <c r="C62" s="18">
        <v>2</v>
      </c>
      <c r="D62" s="19">
        <v>44</v>
      </c>
      <c r="E62" s="19">
        <v>76</v>
      </c>
      <c r="F62" s="51">
        <f>SUM(C62:E62)</f>
        <v>122</v>
      </c>
      <c r="G62" s="95"/>
      <c r="H62" s="73" t="s">
        <v>24</v>
      </c>
      <c r="I62" s="349">
        <f>F48</f>
        <v>22.22</v>
      </c>
      <c r="J62" s="350"/>
      <c r="K62" s="350"/>
      <c r="L62" s="351"/>
      <c r="M62" s="210" t="s">
        <v>94</v>
      </c>
      <c r="N62" s="175">
        <v>0</v>
      </c>
      <c r="O62" s="175">
        <v>0</v>
      </c>
      <c r="P62" s="175">
        <v>1.92</v>
      </c>
      <c r="Q62" s="175">
        <v>42.67</v>
      </c>
      <c r="R62" s="175">
        <v>62.24</v>
      </c>
      <c r="S62" s="175">
        <v>62.24</v>
      </c>
      <c r="T62" s="175">
        <v>62.24</v>
      </c>
      <c r="U62" s="175">
        <v>62.24</v>
      </c>
      <c r="V62" s="175">
        <v>62.24</v>
      </c>
      <c r="W62" s="175">
        <v>62.24</v>
      </c>
      <c r="X62" s="175"/>
      <c r="Y62" s="227"/>
    </row>
    <row r="63" spans="1:25" ht="15" thickBot="1" x14ac:dyDescent="0.25">
      <c r="A63" s="42" t="s">
        <v>6</v>
      </c>
      <c r="B63" s="115" t="s">
        <v>46</v>
      </c>
      <c r="C63" s="60">
        <f>SUM(C61:C62)</f>
        <v>501</v>
      </c>
      <c r="D63" s="61">
        <f>SUM(D61:D62)</f>
        <v>44</v>
      </c>
      <c r="E63" s="61">
        <f>SUM(E61:E62)</f>
        <v>593</v>
      </c>
      <c r="F63" s="104">
        <f>SUM(C63:E63)</f>
        <v>1138</v>
      </c>
      <c r="G63" s="102"/>
      <c r="H63" s="103"/>
      <c r="I63" s="95"/>
      <c r="J63" s="95"/>
      <c r="K63" s="82"/>
      <c r="L63" s="82"/>
      <c r="M63" s="225" t="s">
        <v>95</v>
      </c>
      <c r="N63" s="175">
        <f>N62-(I51*1/3)</f>
        <v>-8.33</v>
      </c>
      <c r="O63" s="175">
        <f>O62-((I51)*2/3)</f>
        <v>-16.66</v>
      </c>
      <c r="P63" s="175">
        <f>P62-((I51)*3/3)</f>
        <v>-23.07</v>
      </c>
      <c r="Q63" s="175">
        <f>Q62-(I51+I52)</f>
        <v>-31.489999999999995</v>
      </c>
      <c r="R63" s="175">
        <f>R62-(I51+I52)</f>
        <v>-11.919999999999995</v>
      </c>
      <c r="S63" s="175">
        <f>S62-(I51+I52)</f>
        <v>-11.919999999999995</v>
      </c>
      <c r="T63" s="175">
        <f>T62-(I51+I52+I53)</f>
        <v>-18.369999999999997</v>
      </c>
      <c r="U63" s="175">
        <f>U62-(I51+I53+I52)</f>
        <v>-18.369999999999997</v>
      </c>
      <c r="V63" s="175">
        <f>V62-(I51+I52+I53)</f>
        <v>-18.369999999999997</v>
      </c>
      <c r="W63" s="226">
        <f>W62-((I51+I52+I53+I54)*10/12)</f>
        <v>-15.868333333333347</v>
      </c>
      <c r="X63" s="226"/>
      <c r="Y63" s="228"/>
    </row>
    <row r="64" spans="1:25" ht="13.5" thickBot="1" x14ac:dyDescent="0.25">
      <c r="A64" s="47" t="s">
        <v>26</v>
      </c>
      <c r="B64" s="48" t="s">
        <v>13</v>
      </c>
      <c r="C64" s="105">
        <v>30.93</v>
      </c>
      <c r="D64" s="106">
        <v>6.22</v>
      </c>
      <c r="E64" s="106">
        <v>28.81</v>
      </c>
      <c r="F64" s="107">
        <f>SUM(C64:E64)</f>
        <v>65.959999999999994</v>
      </c>
      <c r="G64" s="108"/>
      <c r="H64" s="103"/>
      <c r="I64" s="95"/>
      <c r="J64" s="95"/>
      <c r="K64" s="82"/>
      <c r="L64" s="82"/>
      <c r="M64" s="229" t="s">
        <v>93</v>
      </c>
      <c r="N64" s="235">
        <f>N62/((I51)*1/3)</f>
        <v>0</v>
      </c>
      <c r="O64" s="235">
        <f>O62/((I51)*2/3)</f>
        <v>0</v>
      </c>
      <c r="P64" s="235">
        <f>P62/(I51*3/3)</f>
        <v>7.6830732292917175E-2</v>
      </c>
      <c r="Q64" s="235">
        <f>Q62/(I51+I52)</f>
        <v>0.57537756202804746</v>
      </c>
      <c r="R64" s="235">
        <f>R62/(I51+I52)</f>
        <v>0.83926645091693641</v>
      </c>
      <c r="S64" s="235">
        <f>S62/(I51+I52)</f>
        <v>0.83926645091693641</v>
      </c>
      <c r="T64" s="235">
        <f>T62/(I51+I52+I53)</f>
        <v>0.77211264111152467</v>
      </c>
      <c r="U64" s="235">
        <f>U62/(I51+I52+I53)</f>
        <v>0.77211264111152467</v>
      </c>
      <c r="V64" s="235">
        <f>V62/(I51+I52+I53)</f>
        <v>0.77211264111152467</v>
      </c>
      <c r="W64" s="239">
        <f>W62/((I51+I52+I53+I54)*10/12)</f>
        <v>0.79684199295849767</v>
      </c>
      <c r="X64" s="230">
        <f t="shared" ref="W64:Y64" si="20">X48-X57</f>
        <v>0</v>
      </c>
      <c r="Y64" s="179">
        <f t="shared" si="20"/>
        <v>0</v>
      </c>
    </row>
    <row r="65" spans="1:25" ht="13.5" thickBot="1" x14ac:dyDescent="0.25">
      <c r="A65" s="109" t="s">
        <v>27</v>
      </c>
      <c r="B65" s="110" t="s">
        <v>28</v>
      </c>
      <c r="C65" s="111">
        <f>IF(C64=0,0,ROUND((C63/C64),2))</f>
        <v>16.2</v>
      </c>
      <c r="D65" s="112">
        <f>IF(D64=0,0,ROUND((D63/D64),2))</f>
        <v>7.07</v>
      </c>
      <c r="E65" s="112">
        <f>IF(E64=0,0,ROUND((E63/E64),2))</f>
        <v>20.58</v>
      </c>
      <c r="F65" s="113">
        <f>IF(F64=0,0,ROUND((F63/F64),2))</f>
        <v>17.25</v>
      </c>
      <c r="G65" s="114"/>
      <c r="H65" s="103"/>
      <c r="I65" s="95"/>
      <c r="J65" s="95"/>
      <c r="K65" s="82"/>
      <c r="L65" s="82"/>
    </row>
    <row r="66" spans="1:25" x14ac:dyDescent="0.2">
      <c r="A66" s="116" t="s">
        <v>37</v>
      </c>
      <c r="B66" s="88" t="s">
        <v>13</v>
      </c>
      <c r="C66" s="89">
        <v>23</v>
      </c>
      <c r="D66" s="13">
        <v>60</v>
      </c>
      <c r="E66" s="13">
        <v>13</v>
      </c>
      <c r="F66" s="117">
        <f>SUM(C66:E66)</f>
        <v>96</v>
      </c>
      <c r="G66" s="95"/>
      <c r="H66" s="103"/>
      <c r="I66" s="95"/>
      <c r="J66" s="95"/>
      <c r="K66" s="82"/>
      <c r="L66" s="82"/>
    </row>
    <row r="67" spans="1:25" ht="15.75" thickBot="1" x14ac:dyDescent="0.25">
      <c r="A67" s="118" t="s">
        <v>39</v>
      </c>
      <c r="B67" s="94" t="s">
        <v>13</v>
      </c>
      <c r="C67" s="67">
        <v>11</v>
      </c>
      <c r="D67" s="68">
        <v>11</v>
      </c>
      <c r="E67" s="68"/>
      <c r="F67" s="119">
        <f>SUM(C67:E67)</f>
        <v>22</v>
      </c>
      <c r="G67" s="95"/>
      <c r="H67" s="103"/>
      <c r="I67" s="95"/>
      <c r="J67" s="95"/>
      <c r="K67" s="82"/>
      <c r="L67" s="82"/>
      <c r="N67" s="270" t="s">
        <v>97</v>
      </c>
      <c r="O67" s="270"/>
      <c r="P67" s="270"/>
      <c r="Q67" s="270"/>
      <c r="R67" s="270"/>
      <c r="S67" s="270"/>
      <c r="T67" s="270"/>
      <c r="U67" s="270"/>
      <c r="V67" s="270"/>
      <c r="W67" s="270"/>
      <c r="X67" s="270"/>
      <c r="Y67" s="270"/>
    </row>
    <row r="68" spans="1:25" ht="13.5" thickBot="1" x14ac:dyDescent="0.25">
      <c r="A68" s="81"/>
      <c r="B68" s="80"/>
      <c r="C68" s="81"/>
      <c r="D68" s="81"/>
      <c r="E68" s="81"/>
      <c r="F68" s="81"/>
      <c r="G68" s="81"/>
      <c r="H68" s="80"/>
      <c r="I68" s="81"/>
      <c r="J68" s="81"/>
      <c r="K68" s="82"/>
      <c r="L68" s="82"/>
      <c r="M68" s="210" t="s">
        <v>94</v>
      </c>
      <c r="N68" s="175">
        <v>0</v>
      </c>
      <c r="O68" s="175">
        <v>0</v>
      </c>
      <c r="P68" s="175">
        <v>0</v>
      </c>
      <c r="Q68" s="175">
        <v>0</v>
      </c>
      <c r="R68" s="175">
        <v>0</v>
      </c>
      <c r="S68" s="175">
        <v>0</v>
      </c>
      <c r="T68" s="175">
        <v>0</v>
      </c>
      <c r="U68" s="175">
        <v>0</v>
      </c>
      <c r="V68" s="175">
        <v>0</v>
      </c>
      <c r="W68" s="175">
        <v>0</v>
      </c>
      <c r="X68" s="175"/>
      <c r="Y68" s="227"/>
    </row>
    <row r="69" spans="1:25" ht="13.5" thickBot="1" x14ac:dyDescent="0.25">
      <c r="A69" s="120" t="s">
        <v>47</v>
      </c>
      <c r="B69" s="352"/>
      <c r="C69" s="352"/>
      <c r="D69" s="120" t="s">
        <v>48</v>
      </c>
      <c r="E69" s="122"/>
      <c r="F69" s="120" t="s">
        <v>49</v>
      </c>
      <c r="G69" s="120"/>
      <c r="H69" s="123"/>
      <c r="I69" s="120"/>
      <c r="J69" s="81"/>
      <c r="K69" s="82"/>
      <c r="L69" s="82"/>
      <c r="M69" s="225" t="s">
        <v>95</v>
      </c>
      <c r="N69" s="175">
        <f>N68-((I58)*1/3)</f>
        <v>0</v>
      </c>
      <c r="O69" s="175">
        <f>O68-((I58)*2/3)</f>
        <v>0</v>
      </c>
      <c r="P69" s="175">
        <f>P68-((I58)*3/3)</f>
        <v>0</v>
      </c>
      <c r="Q69" s="175">
        <f>Q68-((I58+I59)*4/6)</f>
        <v>0</v>
      </c>
      <c r="R69" s="175">
        <f>R68-((I58+I59)*5/6)</f>
        <v>0</v>
      </c>
      <c r="S69" s="175">
        <f>S68-(I58+I59)*6/6</f>
        <v>0</v>
      </c>
      <c r="T69" s="175">
        <f>T68-((I60)*1/3)</f>
        <v>-7.3233333333333333</v>
      </c>
      <c r="U69" s="175">
        <f>U68-((I60)*2/3)</f>
        <v>-14.646666666666667</v>
      </c>
      <c r="V69" s="175">
        <f>V68-((I60)*3/3)</f>
        <v>-21.97</v>
      </c>
      <c r="W69" s="226">
        <f>W68-((I58+I59+I60+I61))</f>
        <v>-22.22</v>
      </c>
      <c r="X69" s="226"/>
      <c r="Y69" s="228"/>
    </row>
    <row r="70" spans="1:25" ht="13.5" thickBot="1" x14ac:dyDescent="0.25">
      <c r="A70" s="124"/>
      <c r="B70" s="125"/>
      <c r="C70" s="124"/>
      <c r="D70" s="126"/>
      <c r="E70" s="124"/>
      <c r="F70" s="124"/>
      <c r="G70" s="124"/>
      <c r="H70" s="125"/>
      <c r="I70" s="124"/>
      <c r="J70" s="124"/>
      <c r="K70" s="127"/>
      <c r="L70" s="127"/>
      <c r="M70" s="229" t="s">
        <v>93</v>
      </c>
      <c r="N70" s="235" t="e">
        <f>N68/((I58)*1/3)</f>
        <v>#DIV/0!</v>
      </c>
      <c r="O70" s="235" t="e">
        <f>O68/((I58)*2/3)</f>
        <v>#DIV/0!</v>
      </c>
      <c r="P70" s="235" t="e">
        <f>P68/((I58)*3/3)</f>
        <v>#DIV/0!</v>
      </c>
      <c r="Q70" s="235" t="e">
        <f>Q68/((I58+I59)*4/6)</f>
        <v>#DIV/0!</v>
      </c>
      <c r="R70" s="235" t="e">
        <f>R68/((I58+I59)*5/6)</f>
        <v>#DIV/0!</v>
      </c>
      <c r="S70" s="235" t="e">
        <f>S68/((I58+I59)*6/6)</f>
        <v>#DIV/0!</v>
      </c>
      <c r="T70" s="235">
        <f>T68/((I58+I60+I59)*7/9)</f>
        <v>0</v>
      </c>
      <c r="U70" s="235">
        <f>U68/((I58+I59+I60)*8/9)</f>
        <v>0</v>
      </c>
      <c r="V70" s="235">
        <f>V68/((I58+I60+I59)*9/9)</f>
        <v>0</v>
      </c>
      <c r="W70" s="239">
        <f>W68/((I58+I59+I60+I61)*10/12)</f>
        <v>0</v>
      </c>
      <c r="X70" s="239">
        <f>X54-X64</f>
        <v>0</v>
      </c>
      <c r="Y70" s="238">
        <f>Y54-Y64</f>
        <v>0</v>
      </c>
    </row>
    <row r="74" spans="1:25" x14ac:dyDescent="0.2">
      <c r="N74">
        <v>1</v>
      </c>
      <c r="O74">
        <v>2</v>
      </c>
      <c r="P74">
        <v>3</v>
      </c>
      <c r="Q74">
        <v>4</v>
      </c>
      <c r="R74">
        <v>5</v>
      </c>
      <c r="S74">
        <v>6</v>
      </c>
      <c r="T74">
        <v>7</v>
      </c>
      <c r="U74">
        <v>8</v>
      </c>
      <c r="V74">
        <v>9</v>
      </c>
      <c r="W74">
        <v>10</v>
      </c>
    </row>
  </sheetData>
  <mergeCells count="84">
    <mergeCell ref="N43:Y43"/>
    <mergeCell ref="N49:Y49"/>
    <mergeCell ref="N55:Y55"/>
    <mergeCell ref="N27:Y27"/>
    <mergeCell ref="N32:Y32"/>
    <mergeCell ref="N37:Y37"/>
    <mergeCell ref="N1:Y1"/>
    <mergeCell ref="N4:Y4"/>
    <mergeCell ref="N9:Y9"/>
    <mergeCell ref="N15:Y15"/>
    <mergeCell ref="N22:Y22"/>
    <mergeCell ref="C1:K1"/>
    <mergeCell ref="A2:A3"/>
    <mergeCell ref="B2:B3"/>
    <mergeCell ref="C2:C3"/>
    <mergeCell ref="D2:E2"/>
    <mergeCell ref="F2:F3"/>
    <mergeCell ref="H2:L2"/>
    <mergeCell ref="A21:B21"/>
    <mergeCell ref="C22:F22"/>
    <mergeCell ref="C4:F4"/>
    <mergeCell ref="A7:A8"/>
    <mergeCell ref="B7:B8"/>
    <mergeCell ref="C7:C8"/>
    <mergeCell ref="D7:D8"/>
    <mergeCell ref="E7:E8"/>
    <mergeCell ref="F7:F8"/>
    <mergeCell ref="F25:F26"/>
    <mergeCell ref="C9:F9"/>
    <mergeCell ref="H9:L9"/>
    <mergeCell ref="C15:F15"/>
    <mergeCell ref="H15:L15"/>
    <mergeCell ref="A25:A26"/>
    <mergeCell ref="B25:B26"/>
    <mergeCell ref="C25:C26"/>
    <mergeCell ref="D25:D26"/>
    <mergeCell ref="E25:E26"/>
    <mergeCell ref="C27:F27"/>
    <mergeCell ref="A30:A31"/>
    <mergeCell ref="B30:B31"/>
    <mergeCell ref="C30:C31"/>
    <mergeCell ref="D30:D31"/>
    <mergeCell ref="E30:E31"/>
    <mergeCell ref="F30:F31"/>
    <mergeCell ref="C32:F32"/>
    <mergeCell ref="A35:A36"/>
    <mergeCell ref="B35:B36"/>
    <mergeCell ref="C35:C36"/>
    <mergeCell ref="D35:D36"/>
    <mergeCell ref="E35:E36"/>
    <mergeCell ref="F35:F36"/>
    <mergeCell ref="I51:J51"/>
    <mergeCell ref="K51:L51"/>
    <mergeCell ref="C37:F37"/>
    <mergeCell ref="A40:A41"/>
    <mergeCell ref="B40:B41"/>
    <mergeCell ref="C40:C41"/>
    <mergeCell ref="D40:D41"/>
    <mergeCell ref="E40:E41"/>
    <mergeCell ref="F40:F41"/>
    <mergeCell ref="C42:F42"/>
    <mergeCell ref="H43:L43"/>
    <mergeCell ref="C50:F50"/>
    <mergeCell ref="I50:J50"/>
    <mergeCell ref="K50:L50"/>
    <mergeCell ref="C60:F60"/>
    <mergeCell ref="I60:L60"/>
    <mergeCell ref="I52:J52"/>
    <mergeCell ref="K52:L52"/>
    <mergeCell ref="I53:J53"/>
    <mergeCell ref="K53:L53"/>
    <mergeCell ref="C54:F54"/>
    <mergeCell ref="I54:J54"/>
    <mergeCell ref="K54:L54"/>
    <mergeCell ref="I55:J55"/>
    <mergeCell ref="K55:L55"/>
    <mergeCell ref="I57:L57"/>
    <mergeCell ref="I58:L58"/>
    <mergeCell ref="I59:L59"/>
    <mergeCell ref="N61:Y61"/>
    <mergeCell ref="N67:Y67"/>
    <mergeCell ref="I61:L61"/>
    <mergeCell ref="I62:L62"/>
    <mergeCell ref="B69:C69"/>
  </mergeCells>
  <conditionalFormatting sqref="G63 F18:G18 F35:G35 F40:G40 F12:G12 F25:G25 F45:G45 G53 G57 F30:G30">
    <cfRule type="cellIs" dxfId="17" priority="3" stopIfTrue="1" operator="notEqual">
      <formula>F10+F11</formula>
    </cfRule>
  </conditionalFormatting>
  <conditionalFormatting sqref="H31">
    <cfRule type="expression" dxfId="16" priority="4" stopIfTrue="1">
      <formula>F31&lt;&gt;SUM(I27:I31)</formula>
    </cfRule>
  </conditionalFormatting>
  <conditionalFormatting sqref="F63 F53 F57">
    <cfRule type="cellIs" dxfId="15" priority="1" stopIfTrue="1" operator="notEqual">
      <formula>F51+F52</formula>
    </cfRule>
  </conditionalFormatting>
  <printOptions horizontalCentered="1" verticalCentered="1"/>
  <pageMargins left="0" right="0" top="0" bottom="0" header="0.51181102362204722" footer="0.51181102362204722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view="pageBreakPreview" topLeftCell="A46" zoomScaleNormal="100" zoomScaleSheetLayoutView="100" workbookViewId="0">
      <selection activeCell="W64" sqref="W64"/>
    </sheetView>
  </sheetViews>
  <sheetFormatPr defaultRowHeight="12.75" x14ac:dyDescent="0.2"/>
  <cols>
    <col min="2" max="2" width="10.42578125" customWidth="1"/>
    <col min="6" max="6" width="8.28515625" customWidth="1"/>
    <col min="7" max="7" width="2" customWidth="1"/>
    <col min="12" max="12" width="8.140625" customWidth="1"/>
    <col min="14" max="25" width="9.28515625" customWidth="1"/>
    <col min="26" max="26" width="6.85546875" customWidth="1"/>
  </cols>
  <sheetData>
    <row r="1" spans="1:25" ht="16.5" thickBot="1" x14ac:dyDescent="0.3">
      <c r="A1" s="1" t="s">
        <v>0</v>
      </c>
      <c r="B1" s="2" t="s">
        <v>50</v>
      </c>
      <c r="C1" s="325" t="s">
        <v>99</v>
      </c>
      <c r="D1" s="325"/>
      <c r="E1" s="325"/>
      <c r="F1" s="325"/>
      <c r="G1" s="325"/>
      <c r="H1" s="325"/>
      <c r="I1" s="325"/>
      <c r="J1" s="325"/>
      <c r="K1" s="325"/>
      <c r="L1" s="2" t="s">
        <v>2</v>
      </c>
      <c r="N1" s="336" t="s">
        <v>54</v>
      </c>
      <c r="O1" s="337"/>
      <c r="P1" s="337"/>
      <c r="Q1" s="337"/>
      <c r="R1" s="337"/>
      <c r="S1" s="337"/>
      <c r="T1" s="338"/>
      <c r="U1" s="338"/>
      <c r="V1" s="338"/>
      <c r="W1" s="338"/>
      <c r="X1" s="338"/>
      <c r="Y1" s="339"/>
    </row>
    <row r="2" spans="1:25" ht="13.5" thickBot="1" x14ac:dyDescent="0.25">
      <c r="A2" s="326"/>
      <c r="B2" s="328" t="s">
        <v>3</v>
      </c>
      <c r="C2" s="330" t="s">
        <v>4</v>
      </c>
      <c r="D2" s="332" t="s">
        <v>5</v>
      </c>
      <c r="E2" s="332"/>
      <c r="F2" s="333" t="s">
        <v>6</v>
      </c>
      <c r="G2" s="3"/>
      <c r="H2" s="335" t="s">
        <v>7</v>
      </c>
      <c r="I2" s="287"/>
      <c r="J2" s="287"/>
      <c r="K2" s="287"/>
      <c r="L2" s="288"/>
      <c r="N2" s="166" t="s">
        <v>55</v>
      </c>
      <c r="O2" s="167" t="s">
        <v>56</v>
      </c>
      <c r="P2" s="167" t="s">
        <v>57</v>
      </c>
      <c r="Q2" s="167" t="s">
        <v>58</v>
      </c>
      <c r="R2" s="167" t="s">
        <v>59</v>
      </c>
      <c r="S2" s="167" t="s">
        <v>60</v>
      </c>
      <c r="T2" s="167" t="s">
        <v>61</v>
      </c>
      <c r="U2" s="167" t="s">
        <v>62</v>
      </c>
      <c r="V2" s="167" t="s">
        <v>63</v>
      </c>
      <c r="W2" s="167" t="s">
        <v>64</v>
      </c>
      <c r="X2" s="167" t="s">
        <v>65</v>
      </c>
      <c r="Y2" s="168" t="s">
        <v>66</v>
      </c>
    </row>
    <row r="3" spans="1:25" ht="13.5" thickBot="1" x14ac:dyDescent="0.25">
      <c r="A3" s="327"/>
      <c r="B3" s="329"/>
      <c r="C3" s="331"/>
      <c r="D3" s="4" t="s">
        <v>8</v>
      </c>
      <c r="E3" s="5" t="s">
        <v>9</v>
      </c>
      <c r="F3" s="334"/>
      <c r="G3" s="3"/>
      <c r="H3" s="6" t="s">
        <v>10</v>
      </c>
      <c r="I3" s="7" t="s">
        <v>11</v>
      </c>
      <c r="J3" s="7" t="s">
        <v>12</v>
      </c>
      <c r="K3" s="7" t="s">
        <v>6</v>
      </c>
      <c r="L3" s="8" t="s">
        <v>13</v>
      </c>
    </row>
    <row r="4" spans="1:25" ht="13.5" thickBot="1" x14ac:dyDescent="0.25">
      <c r="A4" s="9"/>
      <c r="B4" s="10"/>
      <c r="C4" s="268" t="s">
        <v>14</v>
      </c>
      <c r="D4" s="268"/>
      <c r="E4" s="268"/>
      <c r="F4" s="269"/>
      <c r="G4" s="11"/>
      <c r="H4" s="12" t="s">
        <v>15</v>
      </c>
      <c r="I4" s="13">
        <v>103</v>
      </c>
      <c r="J4" s="13">
        <v>2605</v>
      </c>
      <c r="K4" s="14">
        <f>SUM(I4:J4)</f>
        <v>2708</v>
      </c>
      <c r="L4" s="15" t="s">
        <v>16</v>
      </c>
      <c r="N4" s="340" t="s">
        <v>67</v>
      </c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</row>
    <row r="5" spans="1:25" x14ac:dyDescent="0.2">
      <c r="A5" s="16" t="s">
        <v>17</v>
      </c>
      <c r="B5" s="17" t="s">
        <v>18</v>
      </c>
      <c r="C5" s="18"/>
      <c r="D5" s="19">
        <v>80</v>
      </c>
      <c r="E5" s="19">
        <v>26</v>
      </c>
      <c r="F5" s="20">
        <f>SUM(C5:E5)</f>
        <v>106</v>
      </c>
      <c r="G5" s="21"/>
      <c r="H5" s="22" t="s">
        <v>19</v>
      </c>
      <c r="I5" s="19"/>
      <c r="J5" s="19"/>
      <c r="K5" s="23">
        <f>SUM(I5:J5)</f>
        <v>0</v>
      </c>
      <c r="L5" s="24" t="s">
        <v>16</v>
      </c>
      <c r="N5" s="169"/>
      <c r="O5" s="169">
        <v>4</v>
      </c>
      <c r="P5" s="169">
        <v>49</v>
      </c>
      <c r="Q5" s="169">
        <v>49</v>
      </c>
      <c r="R5" s="169">
        <v>49</v>
      </c>
      <c r="S5" s="169">
        <v>49</v>
      </c>
      <c r="T5" s="169">
        <v>49</v>
      </c>
      <c r="U5" s="169">
        <v>49</v>
      </c>
      <c r="V5" s="169">
        <v>49</v>
      </c>
      <c r="W5" s="169">
        <v>49</v>
      </c>
      <c r="X5" s="169">
        <f>[1]Šaštín!X5+[1]Holíč!X5+'[1]Mor. Ján'!X5+[1]Lozorno!X5+[1]Sološnica!X5</f>
        <v>0</v>
      </c>
      <c r="Y5" s="169">
        <f>[1]Šaštín!Y5+[1]Holíč!Y5+'[1]Mor. Ján'!Y5+[1]Lozorno!Y5+[1]Sološnica!Y5</f>
        <v>0</v>
      </c>
    </row>
    <row r="6" spans="1:25" ht="13.5" thickBot="1" x14ac:dyDescent="0.25">
      <c r="A6" s="16" t="s">
        <v>20</v>
      </c>
      <c r="B6" s="17" t="s">
        <v>18</v>
      </c>
      <c r="C6" s="18">
        <v>2473</v>
      </c>
      <c r="D6" s="19">
        <v>2078</v>
      </c>
      <c r="E6" s="19">
        <v>240</v>
      </c>
      <c r="F6" s="20">
        <f>SUM(C6:E6)</f>
        <v>4791</v>
      </c>
      <c r="G6" s="21"/>
      <c r="H6" s="22" t="s">
        <v>21</v>
      </c>
      <c r="I6" s="19"/>
      <c r="J6" s="19">
        <v>1289</v>
      </c>
      <c r="K6" s="23">
        <f>SUM(I6:J6)</f>
        <v>1289</v>
      </c>
      <c r="L6" s="24" t="s">
        <v>16</v>
      </c>
      <c r="N6" s="170">
        <v>450</v>
      </c>
      <c r="O6" s="170">
        <v>2168</v>
      </c>
      <c r="P6" s="170">
        <v>2812</v>
      </c>
      <c r="Q6" s="170">
        <v>2942</v>
      </c>
      <c r="R6" s="170">
        <v>2942</v>
      </c>
      <c r="S6" s="170">
        <v>2942</v>
      </c>
      <c r="T6" s="170">
        <v>2942</v>
      </c>
      <c r="U6" s="170">
        <v>3003</v>
      </c>
      <c r="V6" s="170">
        <v>3003</v>
      </c>
      <c r="W6" s="170">
        <v>3456</v>
      </c>
      <c r="X6" s="170">
        <f>[1]Šaštín!X6+[1]Holíč!X6+'[1]Mor. Ján'!X6+[1]Lozorno!X6+[1]Sološnica!X6</f>
        <v>0</v>
      </c>
      <c r="Y6" s="170">
        <f>[1]Šaštín!Y6+[1]Holíč!Y6+'[1]Mor. Ján'!Y6+[1]Lozorno!Y6+[1]Sološnica!Y6</f>
        <v>0</v>
      </c>
    </row>
    <row r="7" spans="1:25" ht="13.5" thickBot="1" x14ac:dyDescent="0.25">
      <c r="A7" s="289" t="s">
        <v>6</v>
      </c>
      <c r="B7" s="291" t="s">
        <v>22</v>
      </c>
      <c r="C7" s="293">
        <f>SUM(C5:C6)</f>
        <v>2473</v>
      </c>
      <c r="D7" s="295">
        <f>SUM(D5:D6)</f>
        <v>2158</v>
      </c>
      <c r="E7" s="295">
        <f>SUM(E5:E6)</f>
        <v>266</v>
      </c>
      <c r="F7" s="297">
        <f>SUM(C7:E7)</f>
        <v>4897</v>
      </c>
      <c r="G7" s="25"/>
      <c r="H7" s="26" t="s">
        <v>23</v>
      </c>
      <c r="I7" s="23">
        <f>I8-I4-I5-I6</f>
        <v>3</v>
      </c>
      <c r="J7" s="23">
        <f>J8-J4-J5-J6</f>
        <v>897</v>
      </c>
      <c r="K7" s="23">
        <f>SUM(I7:J7)</f>
        <v>900</v>
      </c>
      <c r="L7" s="27" t="s">
        <v>16</v>
      </c>
      <c r="N7" s="171">
        <f>N5+N6</f>
        <v>450</v>
      </c>
      <c r="O7" s="172">
        <f>O5+O6</f>
        <v>2172</v>
      </c>
      <c r="P7" s="173">
        <f>SUM(P5:P6)</f>
        <v>2861</v>
      </c>
      <c r="Q7" s="173">
        <f t="shared" ref="Q7:Y7" si="0">SUM(Q5:Q6)</f>
        <v>2991</v>
      </c>
      <c r="R7" s="173">
        <f t="shared" si="0"/>
        <v>2991</v>
      </c>
      <c r="S7" s="173">
        <f t="shared" si="0"/>
        <v>2991</v>
      </c>
      <c r="T7" s="173">
        <f t="shared" si="0"/>
        <v>2991</v>
      </c>
      <c r="U7" s="173">
        <f t="shared" si="0"/>
        <v>3052</v>
      </c>
      <c r="V7" s="173">
        <f t="shared" si="0"/>
        <v>3052</v>
      </c>
      <c r="W7" s="173">
        <f t="shared" si="0"/>
        <v>3505</v>
      </c>
      <c r="X7" s="173">
        <f t="shared" si="0"/>
        <v>0</v>
      </c>
      <c r="Y7" s="174">
        <f t="shared" si="0"/>
        <v>0</v>
      </c>
    </row>
    <row r="8" spans="1:25" ht="13.5" thickBot="1" x14ac:dyDescent="0.25">
      <c r="A8" s="320"/>
      <c r="B8" s="321"/>
      <c r="C8" s="358"/>
      <c r="D8" s="359"/>
      <c r="E8" s="359"/>
      <c r="F8" s="360"/>
      <c r="G8" s="25"/>
      <c r="H8" s="28" t="s">
        <v>24</v>
      </c>
      <c r="I8" s="29">
        <f>F5</f>
        <v>106</v>
      </c>
      <c r="J8" s="29">
        <f>F6</f>
        <v>4791</v>
      </c>
      <c r="K8" s="29">
        <f>SUM(I8:J8)</f>
        <v>4897</v>
      </c>
      <c r="L8" s="30" t="s">
        <v>16</v>
      </c>
    </row>
    <row r="9" spans="1:25" ht="13.5" thickBot="1" x14ac:dyDescent="0.25">
      <c r="A9" s="31"/>
      <c r="B9" s="32"/>
      <c r="C9" s="268" t="s">
        <v>25</v>
      </c>
      <c r="D9" s="268"/>
      <c r="E9" s="268"/>
      <c r="F9" s="269"/>
      <c r="G9" s="21"/>
      <c r="H9" s="315"/>
      <c r="I9" s="316"/>
      <c r="J9" s="316"/>
      <c r="K9" s="316"/>
      <c r="L9" s="317"/>
      <c r="N9" s="341" t="s">
        <v>68</v>
      </c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</row>
    <row r="10" spans="1:25" x14ac:dyDescent="0.2">
      <c r="A10" s="16" t="s">
        <v>17</v>
      </c>
      <c r="B10" s="17" t="s">
        <v>18</v>
      </c>
      <c r="C10" s="18">
        <v>1571</v>
      </c>
      <c r="D10" s="19">
        <v>733</v>
      </c>
      <c r="E10" s="19"/>
      <c r="F10" s="20">
        <f>SUM(C10:E10)</f>
        <v>2304</v>
      </c>
      <c r="G10" s="21"/>
      <c r="H10" s="22" t="s">
        <v>15</v>
      </c>
      <c r="I10" s="19">
        <v>1801</v>
      </c>
      <c r="J10" s="19">
        <v>1163</v>
      </c>
      <c r="K10" s="23">
        <f>SUM(I10:J10)</f>
        <v>2964</v>
      </c>
      <c r="L10" s="33">
        <v>108</v>
      </c>
      <c r="N10" s="169">
        <v>136</v>
      </c>
      <c r="O10" s="169">
        <v>285</v>
      </c>
      <c r="P10" s="169">
        <v>285</v>
      </c>
      <c r="Q10" s="169">
        <v>285</v>
      </c>
      <c r="R10" s="169">
        <v>285</v>
      </c>
      <c r="S10" s="169">
        <v>285</v>
      </c>
      <c r="T10" s="169">
        <v>285</v>
      </c>
      <c r="U10" s="169">
        <v>341</v>
      </c>
      <c r="V10" s="169">
        <v>449</v>
      </c>
      <c r="W10" s="169">
        <v>450</v>
      </c>
      <c r="X10" s="169">
        <f>[1]Šaštín!X10+[1]Holíč!X10+'[1]Mor. Ján'!X10+[1]Lozorno!X10+[1]Sološnica!X10</f>
        <v>0</v>
      </c>
      <c r="Y10" s="169">
        <f>[1]Šaštín!Y10+[1]Holíč!Y10+'[1]Mor. Ján'!Y10+[1]Lozorno!Y10+[1]Sološnica!Y10</f>
        <v>0</v>
      </c>
    </row>
    <row r="11" spans="1:25" ht="13.5" thickBot="1" x14ac:dyDescent="0.25">
      <c r="A11" s="34" t="s">
        <v>20</v>
      </c>
      <c r="B11" s="35" t="s">
        <v>18</v>
      </c>
      <c r="C11" s="36">
        <v>1282</v>
      </c>
      <c r="D11" s="37">
        <v>3504</v>
      </c>
      <c r="E11" s="37">
        <v>760</v>
      </c>
      <c r="F11" s="38">
        <f>SUM(C11:E11)</f>
        <v>5546</v>
      </c>
      <c r="G11" s="21"/>
      <c r="H11" s="39" t="s">
        <v>19</v>
      </c>
      <c r="I11" s="37"/>
      <c r="J11" s="37">
        <v>2024</v>
      </c>
      <c r="K11" s="40">
        <f>SUM(I11:J11)</f>
        <v>2024</v>
      </c>
      <c r="L11" s="41">
        <v>92</v>
      </c>
      <c r="N11" s="170">
        <v>7</v>
      </c>
      <c r="O11" s="170">
        <v>228</v>
      </c>
      <c r="P11" s="170">
        <v>1502</v>
      </c>
      <c r="Q11" s="170">
        <v>2608</v>
      </c>
      <c r="R11" s="170">
        <v>2976</v>
      </c>
      <c r="S11" s="170">
        <v>3177</v>
      </c>
      <c r="T11" s="170">
        <v>3445</v>
      </c>
      <c r="U11" s="170">
        <v>3679</v>
      </c>
      <c r="V11" s="170">
        <v>3998</v>
      </c>
      <c r="W11" s="170">
        <v>4493</v>
      </c>
      <c r="X11" s="170">
        <f>[1]Šaštín!X11+[1]Holíč!X11+'[1]Mor. Ján'!X11+[1]Lozorno!X11+[1]Sološnica!X11</f>
        <v>0</v>
      </c>
      <c r="Y11" s="170">
        <f>[1]Šaštín!Y11+[1]Holíč!Y11+'[1]Mor. Ján'!Y11+[1]Lozorno!Y11+[1]Sološnica!Y11</f>
        <v>0</v>
      </c>
    </row>
    <row r="12" spans="1:25" ht="13.5" thickBot="1" x14ac:dyDescent="0.25">
      <c r="A12" s="42" t="s">
        <v>6</v>
      </c>
      <c r="B12" s="43" t="s">
        <v>22</v>
      </c>
      <c r="C12" s="44">
        <f>SUM(C10:C11)</f>
        <v>2853</v>
      </c>
      <c r="D12" s="45">
        <f>SUM(D10:D11)</f>
        <v>4237</v>
      </c>
      <c r="E12" s="45">
        <f>SUM(E10:E11)</f>
        <v>760</v>
      </c>
      <c r="F12" s="46">
        <f>SUM(C12:E12)</f>
        <v>7850</v>
      </c>
      <c r="G12" s="21"/>
      <c r="H12" s="22" t="s">
        <v>21</v>
      </c>
      <c r="I12" s="19">
        <v>486</v>
      </c>
      <c r="J12" s="19">
        <v>1923</v>
      </c>
      <c r="K12" s="23">
        <f>SUM(I12:J12)</f>
        <v>2409</v>
      </c>
      <c r="L12" s="33">
        <v>67</v>
      </c>
      <c r="N12" s="171">
        <f>N10+N11</f>
        <v>143</v>
      </c>
      <c r="O12" s="172">
        <f>O10+O11</f>
        <v>513</v>
      </c>
      <c r="P12" s="173">
        <f>SUM(P10:P11)</f>
        <v>1787</v>
      </c>
      <c r="Q12" s="173">
        <f t="shared" ref="Q12:Y12" si="1">SUM(Q10:Q11)</f>
        <v>2893</v>
      </c>
      <c r="R12" s="173">
        <f t="shared" si="1"/>
        <v>3261</v>
      </c>
      <c r="S12" s="173">
        <f t="shared" si="1"/>
        <v>3462</v>
      </c>
      <c r="T12" s="173">
        <f t="shared" si="1"/>
        <v>3730</v>
      </c>
      <c r="U12" s="173">
        <f t="shared" si="1"/>
        <v>4020</v>
      </c>
      <c r="V12" s="173">
        <f t="shared" si="1"/>
        <v>4447</v>
      </c>
      <c r="W12" s="173">
        <f t="shared" si="1"/>
        <v>4943</v>
      </c>
      <c r="X12" s="173">
        <f t="shared" si="1"/>
        <v>0</v>
      </c>
      <c r="Y12" s="174">
        <f t="shared" si="1"/>
        <v>0</v>
      </c>
    </row>
    <row r="13" spans="1:25" x14ac:dyDescent="0.2">
      <c r="A13" s="47" t="s">
        <v>26</v>
      </c>
      <c r="B13" s="48" t="s">
        <v>13</v>
      </c>
      <c r="C13" s="18">
        <v>127</v>
      </c>
      <c r="D13" s="19">
        <v>158</v>
      </c>
      <c r="E13" s="19">
        <v>22</v>
      </c>
      <c r="F13" s="49">
        <f>SUM(C13:E13)</f>
        <v>307</v>
      </c>
      <c r="G13" s="50"/>
      <c r="H13" s="22" t="s">
        <v>23</v>
      </c>
      <c r="I13" s="23">
        <f>I14-I10-I11-I12</f>
        <v>17</v>
      </c>
      <c r="J13" s="23">
        <f>J14-J10-J11-J12</f>
        <v>436</v>
      </c>
      <c r="K13" s="23">
        <f>SUM(I13:J13)</f>
        <v>453</v>
      </c>
      <c r="L13" s="51">
        <f>L14-L10-L11-L12</f>
        <v>40</v>
      </c>
      <c r="N13">
        <v>7</v>
      </c>
      <c r="O13">
        <v>20</v>
      </c>
      <c r="P13">
        <v>40</v>
      </c>
      <c r="Q13">
        <v>95</v>
      </c>
      <c r="R13">
        <v>108</v>
      </c>
      <c r="S13">
        <v>114</v>
      </c>
      <c r="T13">
        <v>127</v>
      </c>
      <c r="U13">
        <v>129</v>
      </c>
      <c r="V13">
        <v>139</v>
      </c>
      <c r="W13">
        <v>153</v>
      </c>
      <c r="X13">
        <f>[1]Šaštín!X13+[1]Holíč!X13+'[1]Mor. Ján'!X13+[1]Lozorno!X13+[1]Sološnica!X13</f>
        <v>0</v>
      </c>
      <c r="Y13">
        <f>[1]Šaštín!Y13+[1]Holíč!Y13+'[1]Mor. Ján'!Y13+[1]Lozorno!Y13+[1]Sološnica!Y13</f>
        <v>0</v>
      </c>
    </row>
    <row r="14" spans="1:25" ht="13.5" thickBot="1" x14ac:dyDescent="0.25">
      <c r="A14" s="52" t="s">
        <v>27</v>
      </c>
      <c r="B14" s="53" t="s">
        <v>28</v>
      </c>
      <c r="C14" s="54">
        <f>IF(C13=0,0,ROUND((C12/C13),2))</f>
        <v>22.46</v>
      </c>
      <c r="D14" s="55">
        <f>IF(D13=0,0,ROUND((D12/D13),2))</f>
        <v>26.82</v>
      </c>
      <c r="E14" s="55">
        <f>IF(E13=0,0,ROUND((E12/E13),2))</f>
        <v>34.549999999999997</v>
      </c>
      <c r="F14" s="56">
        <f>IF(F13=0,0,ROUND((F12/F13),2))</f>
        <v>25.57</v>
      </c>
      <c r="G14" s="57"/>
      <c r="H14" s="58" t="s">
        <v>24</v>
      </c>
      <c r="I14" s="29">
        <f>F10</f>
        <v>2304</v>
      </c>
      <c r="J14" s="29">
        <f>F11</f>
        <v>5546</v>
      </c>
      <c r="K14" s="29">
        <f>SUM(I14:J14)</f>
        <v>7850</v>
      </c>
      <c r="L14" s="59">
        <f>F13</f>
        <v>307</v>
      </c>
    </row>
    <row r="15" spans="1:25" ht="13.5" thickBot="1" x14ac:dyDescent="0.25">
      <c r="A15" s="31"/>
      <c r="B15" s="32"/>
      <c r="C15" s="268" t="s">
        <v>29</v>
      </c>
      <c r="D15" s="268"/>
      <c r="E15" s="268"/>
      <c r="F15" s="269"/>
      <c r="G15" s="21"/>
      <c r="H15" s="315"/>
      <c r="I15" s="316"/>
      <c r="J15" s="316"/>
      <c r="K15" s="316"/>
      <c r="L15" s="317"/>
      <c r="N15" s="341" t="s">
        <v>69</v>
      </c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</row>
    <row r="16" spans="1:25" x14ac:dyDescent="0.2">
      <c r="A16" s="16" t="s">
        <v>17</v>
      </c>
      <c r="B16" s="17" t="s">
        <v>18</v>
      </c>
      <c r="C16" s="18">
        <v>1489</v>
      </c>
      <c r="D16" s="19">
        <v>15</v>
      </c>
      <c r="E16" s="19"/>
      <c r="F16" s="20">
        <f>SUM(C16:E16)</f>
        <v>1504</v>
      </c>
      <c r="G16" s="21"/>
      <c r="H16" s="22" t="s">
        <v>15</v>
      </c>
      <c r="I16" s="19">
        <v>1489</v>
      </c>
      <c r="J16" s="19">
        <v>18</v>
      </c>
      <c r="K16" s="23">
        <f>SUM(I16:J16)</f>
        <v>1507</v>
      </c>
      <c r="L16" s="33">
        <v>70.44</v>
      </c>
      <c r="N16" s="169">
        <v>136</v>
      </c>
      <c r="O16" s="169">
        <v>285</v>
      </c>
      <c r="P16" s="169">
        <v>285</v>
      </c>
      <c r="Q16" s="169">
        <v>285</v>
      </c>
      <c r="R16" s="169">
        <v>285</v>
      </c>
      <c r="S16" s="169">
        <v>285</v>
      </c>
      <c r="T16" s="169">
        <v>285</v>
      </c>
      <c r="U16" s="169">
        <v>285</v>
      </c>
      <c r="V16" s="169">
        <v>285</v>
      </c>
      <c r="W16" s="169">
        <v>285</v>
      </c>
      <c r="X16" s="169">
        <f>[1]Šaštín!X16+[1]Holíč!X16+'[1]Mor. Ján'!X16+[1]Lozorno!X16+[1]Sološnica!X16</f>
        <v>0</v>
      </c>
      <c r="Y16" s="169">
        <f>[1]Šaštín!Y16+[1]Holíč!Y16+'[1]Mor. Ján'!Y16+[1]Lozorno!Y16+[1]Sološnica!Y16</f>
        <v>0</v>
      </c>
    </row>
    <row r="17" spans="1:25" ht="13.5" thickBot="1" x14ac:dyDescent="0.25">
      <c r="A17" s="34" t="s">
        <v>20</v>
      </c>
      <c r="B17" s="35" t="s">
        <v>18</v>
      </c>
      <c r="C17" s="36">
        <v>335</v>
      </c>
      <c r="D17" s="37">
        <v>24</v>
      </c>
      <c r="E17" s="37"/>
      <c r="F17" s="38">
        <f>SUM(C17:E17)</f>
        <v>359</v>
      </c>
      <c r="G17" s="21"/>
      <c r="H17" s="39" t="s">
        <v>19</v>
      </c>
      <c r="I17" s="37"/>
      <c r="J17" s="37">
        <v>316</v>
      </c>
      <c r="K17" s="40">
        <f>SUM(I17:J17)</f>
        <v>316</v>
      </c>
      <c r="L17" s="41">
        <v>12.91</v>
      </c>
      <c r="N17" s="170">
        <v>7</v>
      </c>
      <c r="O17" s="170">
        <v>7</v>
      </c>
      <c r="P17" s="170">
        <v>7</v>
      </c>
      <c r="Q17" s="170">
        <v>30</v>
      </c>
      <c r="R17" s="170">
        <v>30</v>
      </c>
      <c r="S17" s="170">
        <v>30</v>
      </c>
      <c r="T17" s="170">
        <v>313</v>
      </c>
      <c r="U17" s="170">
        <v>313</v>
      </c>
      <c r="V17" s="170">
        <v>357</v>
      </c>
      <c r="W17" s="170">
        <v>357</v>
      </c>
      <c r="X17" s="170">
        <f>[1]Šaštín!X17+[1]Holíč!X17+'[1]Mor. Ján'!X17+[1]Lozorno!X17+[1]Sološnica!X17</f>
        <v>0</v>
      </c>
      <c r="Y17" s="170">
        <f>[1]Šaštín!Y17+[1]Holíč!Y17+'[1]Mor. Ján'!Y17+[1]Lozorno!Y17+[1]Sološnica!Y17</f>
        <v>0</v>
      </c>
    </row>
    <row r="18" spans="1:25" ht="13.5" thickBot="1" x14ac:dyDescent="0.25">
      <c r="A18" s="42" t="s">
        <v>6</v>
      </c>
      <c r="B18" s="43" t="s">
        <v>22</v>
      </c>
      <c r="C18" s="60">
        <f>SUM(C16:C17)</f>
        <v>1824</v>
      </c>
      <c r="D18" s="61">
        <f>SUM(D16:D17)</f>
        <v>39</v>
      </c>
      <c r="E18" s="61">
        <f>SUM(E16:E17)</f>
        <v>0</v>
      </c>
      <c r="F18" s="20">
        <f>SUM(C18:E18)</f>
        <v>1863</v>
      </c>
      <c r="G18" s="21"/>
      <c r="H18" s="22" t="s">
        <v>21</v>
      </c>
      <c r="I18" s="19"/>
      <c r="J18" s="19">
        <v>24</v>
      </c>
      <c r="K18" s="23">
        <f>SUM(I18:J18)</f>
        <v>24</v>
      </c>
      <c r="L18" s="33">
        <v>1</v>
      </c>
      <c r="N18" s="171">
        <f>N16+N17</f>
        <v>143</v>
      </c>
      <c r="O18" s="172">
        <f>O16+O17</f>
        <v>292</v>
      </c>
      <c r="P18" s="173">
        <f>SUM(P16:P17)</f>
        <v>292</v>
      </c>
      <c r="Q18" s="173">
        <f t="shared" ref="Q18:Y18" si="2">SUM(Q16:Q17)</f>
        <v>315</v>
      </c>
      <c r="R18" s="173">
        <f t="shared" si="2"/>
        <v>315</v>
      </c>
      <c r="S18" s="173">
        <f t="shared" si="2"/>
        <v>315</v>
      </c>
      <c r="T18" s="173">
        <f t="shared" si="2"/>
        <v>598</v>
      </c>
      <c r="U18" s="173">
        <f t="shared" si="2"/>
        <v>598</v>
      </c>
      <c r="V18" s="173">
        <f t="shared" si="2"/>
        <v>642</v>
      </c>
      <c r="W18" s="173">
        <f t="shared" si="2"/>
        <v>642</v>
      </c>
      <c r="X18" s="173">
        <f t="shared" si="2"/>
        <v>0</v>
      </c>
      <c r="Y18" s="174">
        <f t="shared" si="2"/>
        <v>0</v>
      </c>
    </row>
    <row r="19" spans="1:25" x14ac:dyDescent="0.2">
      <c r="A19" s="47" t="s">
        <v>26</v>
      </c>
      <c r="B19" s="48" t="s">
        <v>13</v>
      </c>
      <c r="C19" s="18">
        <v>84.88</v>
      </c>
      <c r="D19" s="19">
        <v>1.77</v>
      </c>
      <c r="E19" s="19"/>
      <c r="F19" s="49">
        <f>SUM(C19:E19)</f>
        <v>86.649999999999991</v>
      </c>
      <c r="G19" s="50"/>
      <c r="H19" s="22" t="s">
        <v>23</v>
      </c>
      <c r="I19" s="23">
        <f>I20-I16-I17-I18</f>
        <v>15</v>
      </c>
      <c r="J19" s="23">
        <f>J20-J16-J17-J18</f>
        <v>1</v>
      </c>
      <c r="K19" s="23">
        <f>SUM(I19:J19)</f>
        <v>16</v>
      </c>
      <c r="L19" s="51">
        <f>L20-L16-L17-L18</f>
        <v>2.2999999999999936</v>
      </c>
      <c r="N19">
        <v>7</v>
      </c>
      <c r="O19">
        <v>15</v>
      </c>
      <c r="P19">
        <v>15</v>
      </c>
      <c r="Q19">
        <v>16</v>
      </c>
      <c r="R19">
        <v>16</v>
      </c>
      <c r="S19">
        <v>16</v>
      </c>
      <c r="T19">
        <v>24</v>
      </c>
      <c r="U19">
        <v>24</v>
      </c>
      <c r="V19">
        <v>24</v>
      </c>
      <c r="W19">
        <v>24</v>
      </c>
      <c r="X19">
        <f>[1]Šaštín!X19+[1]Holíč!X19+'[1]Mor. Ján'!X19+[1]Lozorno!X19+[1]Sološnica!X19</f>
        <v>0</v>
      </c>
      <c r="Y19">
        <f>[1]Šaštín!Y19+[1]Holíč!Y19+'[1]Mor. Ján'!Y19+[1]Lozorno!Y19+[1]Sološnica!Y19</f>
        <v>0</v>
      </c>
    </row>
    <row r="20" spans="1:25" x14ac:dyDescent="0.2">
      <c r="A20" s="62" t="s">
        <v>27</v>
      </c>
      <c r="B20" s="63" t="s">
        <v>28</v>
      </c>
      <c r="C20" s="65">
        <f>IF(C19=0,0,ROUND((C18/C19),2))</f>
        <v>21.49</v>
      </c>
      <c r="D20" s="65">
        <f>IF(D19=0,0,ROUND((D18/D19),2))</f>
        <v>22.03</v>
      </c>
      <c r="E20" s="65">
        <f>IF(E19=0,0,ROUND((E18/E19),2))</f>
        <v>0</v>
      </c>
      <c r="F20" s="66">
        <f>IF(F19=0,0,ROUND((F18/F19),2))</f>
        <v>21.5</v>
      </c>
      <c r="G20" s="57"/>
      <c r="H20" s="58" t="s">
        <v>24</v>
      </c>
      <c r="I20" s="29">
        <f>F16</f>
        <v>1504</v>
      </c>
      <c r="J20" s="29">
        <f>F17</f>
        <v>359</v>
      </c>
      <c r="K20" s="29">
        <f>SUM(I20:J20)</f>
        <v>1863</v>
      </c>
      <c r="L20" s="59">
        <f>F19</f>
        <v>86.649999999999991</v>
      </c>
    </row>
    <row r="21" spans="1:25" ht="13.5" thickBot="1" x14ac:dyDescent="0.25">
      <c r="A21" s="318" t="s">
        <v>30</v>
      </c>
      <c r="B21" s="319"/>
      <c r="C21" s="67">
        <v>0</v>
      </c>
      <c r="D21" s="68">
        <v>0</v>
      </c>
      <c r="E21" s="68">
        <v>0</v>
      </c>
      <c r="F21" s="69">
        <f>SUM(C21:E21)</f>
        <v>0</v>
      </c>
      <c r="G21" s="21"/>
      <c r="H21" s="70"/>
      <c r="I21" s="71"/>
      <c r="J21" s="71"/>
      <c r="K21" s="71"/>
      <c r="L21" s="72"/>
    </row>
    <row r="22" spans="1:25" ht="13.5" thickBot="1" x14ac:dyDescent="0.25">
      <c r="A22" s="9"/>
      <c r="B22" s="10"/>
      <c r="C22" s="268" t="s">
        <v>31</v>
      </c>
      <c r="D22" s="268"/>
      <c r="E22" s="268"/>
      <c r="F22" s="269"/>
      <c r="G22" s="21"/>
      <c r="H22" s="12" t="s">
        <v>15</v>
      </c>
      <c r="I22" s="13">
        <v>2376</v>
      </c>
      <c r="J22" s="13">
        <v>139</v>
      </c>
      <c r="K22" s="14">
        <f t="shared" ref="K22:K41" si="3">SUM(I22:J22)</f>
        <v>2515</v>
      </c>
      <c r="L22" s="15" t="s">
        <v>16</v>
      </c>
      <c r="N22" s="341" t="s">
        <v>70</v>
      </c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</row>
    <row r="23" spans="1:25" x14ac:dyDescent="0.2">
      <c r="A23" s="16" t="s">
        <v>17</v>
      </c>
      <c r="B23" s="17" t="s">
        <v>18</v>
      </c>
      <c r="C23" s="18">
        <v>7153</v>
      </c>
      <c r="D23" s="19">
        <v>3937</v>
      </c>
      <c r="E23" s="19">
        <v>2600</v>
      </c>
      <c r="F23" s="20">
        <f>SUM(C23:E23)</f>
        <v>13690</v>
      </c>
      <c r="G23" s="21"/>
      <c r="H23" s="22" t="s">
        <v>19</v>
      </c>
      <c r="I23" s="19">
        <v>4413</v>
      </c>
      <c r="J23" s="19">
        <v>140</v>
      </c>
      <c r="K23" s="23">
        <f t="shared" si="3"/>
        <v>4553</v>
      </c>
      <c r="L23" s="24" t="s">
        <v>16</v>
      </c>
      <c r="N23" s="169">
        <v>195</v>
      </c>
      <c r="O23" s="169">
        <v>1883</v>
      </c>
      <c r="P23" s="169">
        <v>2737</v>
      </c>
      <c r="Q23" s="169">
        <v>6507</v>
      </c>
      <c r="R23" s="169">
        <v>8025</v>
      </c>
      <c r="S23" s="169">
        <v>9266</v>
      </c>
      <c r="T23" s="169">
        <v>9266</v>
      </c>
      <c r="U23" s="169">
        <v>12896</v>
      </c>
      <c r="V23" s="169">
        <v>18456</v>
      </c>
      <c r="W23" s="169">
        <v>22220</v>
      </c>
      <c r="X23" s="169">
        <f>[1]Šaštín!X23+[1]Holíč!X23+'[1]Mor. Ján'!X23+[1]Lozorno!X23+[1]Sološnica!X23+[1]Benuš!X23</f>
        <v>0</v>
      </c>
      <c r="Y23" s="169">
        <f>[1]Šaštín!Y23+[1]Holíč!Y23+'[1]Mor. Ján'!Y23+[1]Lozorno!Y23+[1]Sološnica!Y23+[1]Benuš!Y23</f>
        <v>0</v>
      </c>
    </row>
    <row r="24" spans="1:25" ht="13.5" thickBot="1" x14ac:dyDescent="0.25">
      <c r="A24" s="16" t="s">
        <v>20</v>
      </c>
      <c r="B24" s="17" t="s">
        <v>18</v>
      </c>
      <c r="C24" s="18"/>
      <c r="D24" s="19">
        <v>163</v>
      </c>
      <c r="E24" s="19">
        <v>400</v>
      </c>
      <c r="F24" s="20">
        <f>SUM(C24:E24)</f>
        <v>563</v>
      </c>
      <c r="G24" s="21"/>
      <c r="H24" s="22" t="s">
        <v>21</v>
      </c>
      <c r="I24" s="19">
        <v>3451</v>
      </c>
      <c r="J24" s="19">
        <v>142</v>
      </c>
      <c r="K24" s="23">
        <f t="shared" si="3"/>
        <v>3593</v>
      </c>
      <c r="L24" s="24" t="s">
        <v>16</v>
      </c>
      <c r="N24" s="170">
        <v>31</v>
      </c>
      <c r="O24" s="170">
        <v>746</v>
      </c>
      <c r="P24" s="170">
        <v>908</v>
      </c>
      <c r="Q24" s="170">
        <v>1082</v>
      </c>
      <c r="R24" s="170">
        <v>1242</v>
      </c>
      <c r="S24" s="170">
        <v>1520</v>
      </c>
      <c r="T24" s="170">
        <v>1542</v>
      </c>
      <c r="U24" s="170">
        <v>2126</v>
      </c>
      <c r="V24" s="170">
        <v>3728</v>
      </c>
      <c r="W24" s="170">
        <v>3817</v>
      </c>
      <c r="X24" s="170">
        <f>[1]Šaštín!X24+[1]Holíč!X24+'[1]Mor. Ján'!X24+[1]Lozorno!X24+[1]Sološnica!X24</f>
        <v>0</v>
      </c>
      <c r="Y24" s="170">
        <f>[1]Šaštín!Y24+[1]Holíč!Y24+'[1]Mor. Ján'!Y24+[1]Lozorno!Y24+[1]Sološnica!Y24</f>
        <v>0</v>
      </c>
    </row>
    <row r="25" spans="1:25" ht="13.5" thickBot="1" x14ac:dyDescent="0.25">
      <c r="A25" s="289" t="s">
        <v>6</v>
      </c>
      <c r="B25" s="291" t="s">
        <v>22</v>
      </c>
      <c r="C25" s="293">
        <f>SUM(C23:C24)</f>
        <v>7153</v>
      </c>
      <c r="D25" s="295">
        <f>SUM(D23:D24)</f>
        <v>4100</v>
      </c>
      <c r="E25" s="295">
        <f>E24+E23</f>
        <v>3000</v>
      </c>
      <c r="F25" s="297">
        <f>F24+F23</f>
        <v>14253</v>
      </c>
      <c r="G25" s="25"/>
      <c r="H25" s="22" t="s">
        <v>23</v>
      </c>
      <c r="I25" s="23">
        <f>I26-I22-I23-I24</f>
        <v>3450</v>
      </c>
      <c r="J25" s="23">
        <f>J26-J22-J23-J24</f>
        <v>142</v>
      </c>
      <c r="K25" s="23">
        <f t="shared" si="3"/>
        <v>3592</v>
      </c>
      <c r="L25" s="27" t="s">
        <v>16</v>
      </c>
      <c r="N25" s="171">
        <f>N23+N24</f>
        <v>226</v>
      </c>
      <c r="O25" s="172">
        <f>O23+O24</f>
        <v>2629</v>
      </c>
      <c r="P25" s="173">
        <f>SUM(P23:P24)</f>
        <v>3645</v>
      </c>
      <c r="Q25" s="173">
        <f t="shared" ref="Q25:Y25" si="4">SUM(Q23:Q24)</f>
        <v>7589</v>
      </c>
      <c r="R25" s="173">
        <f t="shared" si="4"/>
        <v>9267</v>
      </c>
      <c r="S25" s="173">
        <f t="shared" si="4"/>
        <v>10786</v>
      </c>
      <c r="T25" s="173">
        <f t="shared" si="4"/>
        <v>10808</v>
      </c>
      <c r="U25" s="173">
        <f t="shared" si="4"/>
        <v>15022</v>
      </c>
      <c r="V25" s="173">
        <f t="shared" si="4"/>
        <v>22184</v>
      </c>
      <c r="W25" s="173">
        <f t="shared" si="4"/>
        <v>26037</v>
      </c>
      <c r="X25" s="173">
        <f t="shared" si="4"/>
        <v>0</v>
      </c>
      <c r="Y25" s="174">
        <f t="shared" si="4"/>
        <v>0</v>
      </c>
    </row>
    <row r="26" spans="1:25" ht="13.5" thickBot="1" x14ac:dyDescent="0.25">
      <c r="A26" s="290"/>
      <c r="B26" s="292"/>
      <c r="C26" s="294"/>
      <c r="D26" s="296"/>
      <c r="E26" s="296"/>
      <c r="F26" s="298"/>
      <c r="G26" s="25"/>
      <c r="H26" s="73" t="s">
        <v>24</v>
      </c>
      <c r="I26" s="74">
        <f>F23</f>
        <v>13690</v>
      </c>
      <c r="J26" s="74">
        <f>F24</f>
        <v>563</v>
      </c>
      <c r="K26" s="74">
        <f t="shared" si="3"/>
        <v>14253</v>
      </c>
      <c r="L26" s="75" t="s">
        <v>16</v>
      </c>
    </row>
    <row r="27" spans="1:25" ht="13.5" thickBot="1" x14ac:dyDescent="0.25">
      <c r="A27" s="9"/>
      <c r="B27" s="10"/>
      <c r="C27" s="268" t="s">
        <v>32</v>
      </c>
      <c r="D27" s="268"/>
      <c r="E27" s="268"/>
      <c r="F27" s="269"/>
      <c r="G27" s="21"/>
      <c r="H27" s="12" t="s">
        <v>15</v>
      </c>
      <c r="I27" s="13"/>
      <c r="J27" s="13"/>
      <c r="K27" s="14">
        <f t="shared" si="3"/>
        <v>0</v>
      </c>
      <c r="L27" s="15" t="s">
        <v>16</v>
      </c>
      <c r="N27" s="341" t="s">
        <v>71</v>
      </c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</row>
    <row r="28" spans="1:25" x14ac:dyDescent="0.2">
      <c r="A28" s="16" t="s">
        <v>17</v>
      </c>
      <c r="B28" s="17" t="s">
        <v>18</v>
      </c>
      <c r="C28" s="76">
        <v>0</v>
      </c>
      <c r="D28" s="19">
        <v>0</v>
      </c>
      <c r="E28" s="19">
        <v>0</v>
      </c>
      <c r="F28" s="20">
        <f>SUM(C28:E28)</f>
        <v>0</v>
      </c>
      <c r="G28" s="21"/>
      <c r="H28" s="22" t="s">
        <v>19</v>
      </c>
      <c r="I28" s="19"/>
      <c r="J28" s="19"/>
      <c r="K28" s="23">
        <f t="shared" si="3"/>
        <v>0</v>
      </c>
      <c r="L28" s="24" t="s">
        <v>16</v>
      </c>
      <c r="N28" s="169"/>
      <c r="O28" s="169"/>
      <c r="P28" s="169"/>
      <c r="Q28" s="169"/>
      <c r="R28" s="169"/>
      <c r="S28" s="169"/>
      <c r="T28" s="169"/>
      <c r="U28" s="169"/>
      <c r="V28" s="169"/>
      <c r="W28" s="169">
        <f>[1]Šaštín!W28+[1]Holíč!W28+'[1]Mor. Ján'!W28+[1]Lozorno!W28+[1]Sološnica!W28</f>
        <v>0</v>
      </c>
      <c r="X28" s="169">
        <f>[1]Šaštín!X28+[1]Holíč!X28+'[1]Mor. Ján'!X28+[1]Lozorno!X28+[1]Sološnica!X28</f>
        <v>0</v>
      </c>
      <c r="Y28" s="169">
        <f>[1]Šaštín!Y28+[1]Holíč!Y28+'[1]Mor. Ján'!Y28+[1]Lozorno!Y28+[1]Sološnica!Y28</f>
        <v>0</v>
      </c>
    </row>
    <row r="29" spans="1:25" ht="13.5" thickBot="1" x14ac:dyDescent="0.25">
      <c r="A29" s="16" t="s">
        <v>20</v>
      </c>
      <c r="B29" s="17" t="s">
        <v>18</v>
      </c>
      <c r="C29" s="76">
        <v>0</v>
      </c>
      <c r="D29" s="19">
        <v>0</v>
      </c>
      <c r="E29" s="19">
        <v>0</v>
      </c>
      <c r="F29" s="20">
        <f>SUM(C29:E29)</f>
        <v>0</v>
      </c>
      <c r="G29" s="21"/>
      <c r="H29" s="22" t="s">
        <v>21</v>
      </c>
      <c r="I29" s="19"/>
      <c r="J29" s="19"/>
      <c r="K29" s="23">
        <f t="shared" si="3"/>
        <v>0</v>
      </c>
      <c r="L29" s="24" t="s">
        <v>16</v>
      </c>
      <c r="N29" s="170"/>
      <c r="O29" s="170"/>
      <c r="P29" s="170"/>
      <c r="Q29" s="170"/>
      <c r="R29" s="170"/>
      <c r="S29" s="170"/>
      <c r="T29" s="170"/>
      <c r="U29" s="170"/>
      <c r="V29" s="170"/>
      <c r="W29" s="170">
        <f>[1]Šaštín!W29+[1]Holíč!W29+'[1]Mor. Ján'!W29+[1]Lozorno!W29+[1]Sološnica!W29</f>
        <v>0</v>
      </c>
      <c r="X29" s="170">
        <f>[1]Šaštín!X29+[1]Holíč!X29+'[1]Mor. Ján'!X29+[1]Lozorno!X29+[1]Sološnica!X29</f>
        <v>0</v>
      </c>
      <c r="Y29" s="170">
        <f>[1]Šaštín!Y29+[1]Holíč!Y29+'[1]Mor. Ján'!Y29+[1]Lozorno!Y29+[1]Sološnica!Y29</f>
        <v>0</v>
      </c>
    </row>
    <row r="30" spans="1:25" ht="13.5" thickBot="1" x14ac:dyDescent="0.25">
      <c r="A30" s="305" t="s">
        <v>6</v>
      </c>
      <c r="B30" s="307" t="s">
        <v>22</v>
      </c>
      <c r="C30" s="309">
        <f>SUM(C28:C29)</f>
        <v>0</v>
      </c>
      <c r="D30" s="311">
        <f>SUM(D28:D29)</f>
        <v>0</v>
      </c>
      <c r="E30" s="311">
        <f>SUM(E28:E29)</f>
        <v>0</v>
      </c>
      <c r="F30" s="313">
        <f>SUM(C30:E30)</f>
        <v>0</v>
      </c>
      <c r="G30" s="21"/>
      <c r="H30" s="22" t="s">
        <v>23</v>
      </c>
      <c r="I30" s="23">
        <f>I31-I27-I28-I29</f>
        <v>0</v>
      </c>
      <c r="J30" s="23">
        <f>J31-J27-J28-J29</f>
        <v>0</v>
      </c>
      <c r="K30" s="23">
        <f t="shared" si="3"/>
        <v>0</v>
      </c>
      <c r="L30" s="27" t="s">
        <v>16</v>
      </c>
      <c r="N30" s="171">
        <f>N28+N29</f>
        <v>0</v>
      </c>
      <c r="O30" s="172">
        <f>O28+O29</f>
        <v>0</v>
      </c>
      <c r="P30" s="173">
        <f>SUM(P28:P29)</f>
        <v>0</v>
      </c>
      <c r="Q30" s="173">
        <f t="shared" ref="Q30:Y30" si="5">SUM(Q28:Q29)</f>
        <v>0</v>
      </c>
      <c r="R30" s="173">
        <f t="shared" si="5"/>
        <v>0</v>
      </c>
      <c r="S30" s="173">
        <f t="shared" si="5"/>
        <v>0</v>
      </c>
      <c r="T30" s="173">
        <f t="shared" si="5"/>
        <v>0</v>
      </c>
      <c r="U30" s="173">
        <f t="shared" si="5"/>
        <v>0</v>
      </c>
      <c r="V30" s="173">
        <f t="shared" si="5"/>
        <v>0</v>
      </c>
      <c r="W30" s="173">
        <f t="shared" si="5"/>
        <v>0</v>
      </c>
      <c r="X30" s="173">
        <f t="shared" si="5"/>
        <v>0</v>
      </c>
      <c r="Y30" s="174">
        <f t="shared" si="5"/>
        <v>0</v>
      </c>
    </row>
    <row r="31" spans="1:25" ht="13.5" thickBot="1" x14ac:dyDescent="0.25">
      <c r="A31" s="306"/>
      <c r="B31" s="308"/>
      <c r="C31" s="310"/>
      <c r="D31" s="312"/>
      <c r="E31" s="312"/>
      <c r="F31" s="314"/>
      <c r="G31" s="21"/>
      <c r="H31" s="73" t="s">
        <v>24</v>
      </c>
      <c r="I31" s="74">
        <f>F28</f>
        <v>0</v>
      </c>
      <c r="J31" s="74">
        <f>F29</f>
        <v>0</v>
      </c>
      <c r="K31" s="74">
        <f t="shared" si="3"/>
        <v>0</v>
      </c>
      <c r="L31" s="75" t="s">
        <v>16</v>
      </c>
    </row>
    <row r="32" spans="1:25" ht="15.75" thickBot="1" x14ac:dyDescent="0.3">
      <c r="A32" s="9"/>
      <c r="B32" s="10"/>
      <c r="C32" s="268" t="s">
        <v>33</v>
      </c>
      <c r="D32" s="268"/>
      <c r="E32" s="268"/>
      <c r="F32" s="269"/>
      <c r="G32" s="21"/>
      <c r="H32" s="12" t="s">
        <v>15</v>
      </c>
      <c r="I32" s="14">
        <f>SUM(I4,I10,I22,I27)</f>
        <v>4280</v>
      </c>
      <c r="J32" s="14">
        <f t="shared" ref="I32:J34" si="6">SUM(J4,J10,J22,J28)</f>
        <v>3907</v>
      </c>
      <c r="K32" s="14">
        <f>SUM(I32:J32)</f>
        <v>8187</v>
      </c>
      <c r="L32" s="15" t="s">
        <v>16</v>
      </c>
      <c r="N32" s="343" t="s">
        <v>72</v>
      </c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</row>
    <row r="33" spans="1:25" x14ac:dyDescent="0.2">
      <c r="A33" s="77" t="s">
        <v>17</v>
      </c>
      <c r="B33" s="78" t="s">
        <v>18</v>
      </c>
      <c r="C33" s="79">
        <f t="shared" ref="C33:E34" si="7">SUM(C5,C10,C23,C28)</f>
        <v>8724</v>
      </c>
      <c r="D33" s="23">
        <f t="shared" si="7"/>
        <v>4750</v>
      </c>
      <c r="E33" s="23">
        <f t="shared" si="7"/>
        <v>2626</v>
      </c>
      <c r="F33" s="20">
        <f>SUM(C33:E33)</f>
        <v>16100</v>
      </c>
      <c r="G33" s="21"/>
      <c r="H33" s="22" t="s">
        <v>19</v>
      </c>
      <c r="I33" s="23">
        <f t="shared" si="6"/>
        <v>4413</v>
      </c>
      <c r="J33" s="23">
        <f t="shared" si="6"/>
        <v>2164</v>
      </c>
      <c r="K33" s="23">
        <f t="shared" si="3"/>
        <v>6577</v>
      </c>
      <c r="L33" s="24" t="s">
        <v>16</v>
      </c>
      <c r="M33" s="165"/>
      <c r="N33" s="175">
        <f>N5+N10+N23+N28</f>
        <v>331</v>
      </c>
      <c r="O33" s="175">
        <f t="shared" ref="O33:Y34" si="8">O5+O10+O23+O28</f>
        <v>2172</v>
      </c>
      <c r="P33" s="175">
        <f t="shared" si="8"/>
        <v>3071</v>
      </c>
      <c r="Q33" s="175">
        <f t="shared" si="8"/>
        <v>6841</v>
      </c>
      <c r="R33" s="175">
        <f t="shared" si="8"/>
        <v>8359</v>
      </c>
      <c r="S33" s="175">
        <f t="shared" si="8"/>
        <v>9600</v>
      </c>
      <c r="T33" s="175">
        <f t="shared" si="8"/>
        <v>9600</v>
      </c>
      <c r="U33" s="175">
        <f t="shared" si="8"/>
        <v>13286</v>
      </c>
      <c r="V33" s="175">
        <f t="shared" si="8"/>
        <v>18954</v>
      </c>
      <c r="W33" s="175">
        <f t="shared" si="8"/>
        <v>22719</v>
      </c>
      <c r="X33" s="175">
        <f t="shared" si="8"/>
        <v>0</v>
      </c>
      <c r="Y33" s="175">
        <f t="shared" si="8"/>
        <v>0</v>
      </c>
    </row>
    <row r="34" spans="1:25" x14ac:dyDescent="0.2">
      <c r="A34" s="77" t="s">
        <v>20</v>
      </c>
      <c r="B34" s="78" t="s">
        <v>18</v>
      </c>
      <c r="C34" s="79">
        <f t="shared" si="7"/>
        <v>3755</v>
      </c>
      <c r="D34" s="23">
        <f t="shared" si="7"/>
        <v>5745</v>
      </c>
      <c r="E34" s="23">
        <f t="shared" si="7"/>
        <v>1400</v>
      </c>
      <c r="F34" s="20">
        <f>SUM(C34:E34)</f>
        <v>10900</v>
      </c>
      <c r="G34" s="21"/>
      <c r="H34" s="22" t="s">
        <v>21</v>
      </c>
      <c r="I34" s="23">
        <f t="shared" si="6"/>
        <v>3937</v>
      </c>
      <c r="J34" s="23">
        <f t="shared" si="6"/>
        <v>3354</v>
      </c>
      <c r="K34" s="23">
        <f t="shared" si="3"/>
        <v>7291</v>
      </c>
      <c r="L34" s="24" t="s">
        <v>16</v>
      </c>
      <c r="M34" s="165"/>
      <c r="N34" s="176">
        <f>N6+N11+N24+N29</f>
        <v>488</v>
      </c>
      <c r="O34" s="176">
        <f t="shared" si="8"/>
        <v>3142</v>
      </c>
      <c r="P34" s="176">
        <f t="shared" si="8"/>
        <v>5222</v>
      </c>
      <c r="Q34" s="176">
        <f t="shared" si="8"/>
        <v>6632</v>
      </c>
      <c r="R34" s="176">
        <f t="shared" si="8"/>
        <v>7160</v>
      </c>
      <c r="S34" s="176">
        <f t="shared" si="8"/>
        <v>7639</v>
      </c>
      <c r="T34" s="176">
        <f t="shared" si="8"/>
        <v>7929</v>
      </c>
      <c r="U34" s="176">
        <f t="shared" si="8"/>
        <v>8808</v>
      </c>
      <c r="V34" s="176">
        <f t="shared" si="8"/>
        <v>10729</v>
      </c>
      <c r="W34" s="176">
        <f t="shared" si="8"/>
        <v>11766</v>
      </c>
      <c r="X34" s="176">
        <f t="shared" si="8"/>
        <v>0</v>
      </c>
      <c r="Y34" s="176">
        <f t="shared" si="8"/>
        <v>0</v>
      </c>
    </row>
    <row r="35" spans="1:25" ht="13.5" thickBot="1" x14ac:dyDescent="0.25">
      <c r="A35" s="289" t="s">
        <v>6</v>
      </c>
      <c r="B35" s="291" t="s">
        <v>22</v>
      </c>
      <c r="C35" s="293">
        <f>SUM(C33:C34)</f>
        <v>12479</v>
      </c>
      <c r="D35" s="295">
        <f>SUM(D33:D34)</f>
        <v>10495</v>
      </c>
      <c r="E35" s="295">
        <f>SUM(E33:E34)</f>
        <v>4026</v>
      </c>
      <c r="F35" s="297">
        <f>SUM(C35:E35)</f>
        <v>27000</v>
      </c>
      <c r="G35" s="25"/>
      <c r="H35" s="22" t="s">
        <v>23</v>
      </c>
      <c r="I35" s="23">
        <f>I36-I32-I33-I34</f>
        <v>3470</v>
      </c>
      <c r="J35" s="23">
        <f>J36-J32-J33-J34</f>
        <v>1475</v>
      </c>
      <c r="K35" s="23">
        <f t="shared" si="3"/>
        <v>4945</v>
      </c>
      <c r="L35" s="27" t="s">
        <v>16</v>
      </c>
      <c r="M35" s="165"/>
      <c r="N35" s="177">
        <f>N33+N34</f>
        <v>819</v>
      </c>
      <c r="O35" s="177">
        <f t="shared" ref="O35:Y35" si="9">O33+O34</f>
        <v>5314</v>
      </c>
      <c r="P35" s="177">
        <f t="shared" si="9"/>
        <v>8293</v>
      </c>
      <c r="Q35" s="177">
        <f t="shared" si="9"/>
        <v>13473</v>
      </c>
      <c r="R35" s="177">
        <f t="shared" si="9"/>
        <v>15519</v>
      </c>
      <c r="S35" s="177">
        <f t="shared" si="9"/>
        <v>17239</v>
      </c>
      <c r="T35" s="177">
        <f t="shared" si="9"/>
        <v>17529</v>
      </c>
      <c r="U35" s="177">
        <f t="shared" si="9"/>
        <v>22094</v>
      </c>
      <c r="V35" s="177">
        <f t="shared" si="9"/>
        <v>29683</v>
      </c>
      <c r="W35" s="177">
        <f t="shared" si="9"/>
        <v>34485</v>
      </c>
      <c r="X35" s="177">
        <f t="shared" si="9"/>
        <v>0</v>
      </c>
      <c r="Y35" s="177">
        <f t="shared" si="9"/>
        <v>0</v>
      </c>
    </row>
    <row r="36" spans="1:25" ht="13.5" thickBot="1" x14ac:dyDescent="0.25">
      <c r="A36" s="290"/>
      <c r="B36" s="292"/>
      <c r="C36" s="294"/>
      <c r="D36" s="296"/>
      <c r="E36" s="296"/>
      <c r="F36" s="298"/>
      <c r="G36" s="25"/>
      <c r="H36" s="73" t="s">
        <v>24</v>
      </c>
      <c r="I36" s="74">
        <f>F33</f>
        <v>16100</v>
      </c>
      <c r="J36" s="74">
        <f>F34</f>
        <v>10900</v>
      </c>
      <c r="K36" s="74">
        <f t="shared" si="3"/>
        <v>27000</v>
      </c>
      <c r="L36" s="75" t="s">
        <v>16</v>
      </c>
    </row>
    <row r="37" spans="1:25" ht="13.5" thickBot="1" x14ac:dyDescent="0.25">
      <c r="A37" s="9"/>
      <c r="B37" s="10"/>
      <c r="C37" s="268" t="s">
        <v>34</v>
      </c>
      <c r="D37" s="268"/>
      <c r="E37" s="268"/>
      <c r="F37" s="269"/>
      <c r="G37" s="21"/>
      <c r="H37" s="12" t="s">
        <v>15</v>
      </c>
      <c r="I37" s="13">
        <v>82</v>
      </c>
      <c r="J37" s="13">
        <v>138</v>
      </c>
      <c r="K37" s="14">
        <f t="shared" si="3"/>
        <v>220</v>
      </c>
      <c r="L37" s="15" t="s">
        <v>16</v>
      </c>
      <c r="N37" s="341" t="s">
        <v>73</v>
      </c>
      <c r="O37" s="341"/>
      <c r="P37" s="341"/>
      <c r="Q37" s="341"/>
      <c r="R37" s="341"/>
      <c r="S37" s="341"/>
      <c r="T37" s="341"/>
      <c r="U37" s="341"/>
      <c r="V37" s="341"/>
      <c r="W37" s="341"/>
      <c r="X37" s="341"/>
      <c r="Y37" s="341"/>
    </row>
    <row r="38" spans="1:25" x14ac:dyDescent="0.2">
      <c r="A38" s="16" t="s">
        <v>17</v>
      </c>
      <c r="B38" s="17" t="s">
        <v>18</v>
      </c>
      <c r="C38" s="18">
        <v>113</v>
      </c>
      <c r="D38" s="19">
        <v>137</v>
      </c>
      <c r="E38" s="19">
        <v>100</v>
      </c>
      <c r="F38" s="20">
        <f>SUM(C38:E38)</f>
        <v>350</v>
      </c>
      <c r="G38" s="21"/>
      <c r="H38" s="22" t="s">
        <v>19</v>
      </c>
      <c r="I38" s="19">
        <v>83</v>
      </c>
      <c r="J38" s="19">
        <v>140</v>
      </c>
      <c r="K38" s="23">
        <f t="shared" si="3"/>
        <v>223</v>
      </c>
      <c r="L38" s="24" t="s">
        <v>16</v>
      </c>
      <c r="N38" s="169">
        <v>16</v>
      </c>
      <c r="O38" s="169">
        <v>46</v>
      </c>
      <c r="P38" s="169">
        <v>58</v>
      </c>
      <c r="Q38" s="169">
        <v>59</v>
      </c>
      <c r="R38" s="169">
        <v>60</v>
      </c>
      <c r="S38" s="169">
        <v>62</v>
      </c>
      <c r="T38" s="169">
        <v>62</v>
      </c>
      <c r="U38" s="169">
        <v>72</v>
      </c>
      <c r="V38" s="169">
        <v>72</v>
      </c>
      <c r="W38" s="169">
        <v>137</v>
      </c>
      <c r="X38" s="169">
        <f>[1]Šaštín!X38+[1]Holíč!X38+'[1]Mor. Ján'!X38+[1]Lozorno!X38+[1]Sološnica!X38</f>
        <v>0</v>
      </c>
      <c r="Y38" s="169">
        <f>[1]Šaštín!Y38+[1]Holíč!Y38+'[1]Mor. Ján'!Y38+[1]Lozorno!Y38+[1]Sološnica!Y38</f>
        <v>0</v>
      </c>
    </row>
    <row r="39" spans="1:25" ht="13.5" thickBot="1" x14ac:dyDescent="0.25">
      <c r="A39" s="16" t="s">
        <v>20</v>
      </c>
      <c r="B39" s="17" t="s">
        <v>18</v>
      </c>
      <c r="C39" s="18"/>
      <c r="D39" s="19">
        <v>160</v>
      </c>
      <c r="E39" s="19">
        <v>400</v>
      </c>
      <c r="F39" s="20">
        <f>SUM(C39:E39)</f>
        <v>560</v>
      </c>
      <c r="G39" s="21"/>
      <c r="H39" s="22" t="s">
        <v>21</v>
      </c>
      <c r="I39" s="19">
        <v>84</v>
      </c>
      <c r="J39" s="19">
        <v>141</v>
      </c>
      <c r="K39" s="23">
        <f t="shared" si="3"/>
        <v>225</v>
      </c>
      <c r="L39" s="24" t="s">
        <v>16</v>
      </c>
      <c r="N39" s="170">
        <v>31</v>
      </c>
      <c r="O39" s="170">
        <v>112</v>
      </c>
      <c r="P39" s="170">
        <v>180</v>
      </c>
      <c r="Q39" s="170">
        <v>197</v>
      </c>
      <c r="R39" s="170">
        <v>225</v>
      </c>
      <c r="S39" s="170">
        <v>260</v>
      </c>
      <c r="T39" s="170">
        <v>283</v>
      </c>
      <c r="U39" s="170">
        <v>294</v>
      </c>
      <c r="V39" s="170">
        <v>306</v>
      </c>
      <c r="W39" s="170">
        <v>341</v>
      </c>
      <c r="X39" s="170">
        <f>[1]Šaštín!X39+[1]Holíč!X39+'[1]Mor. Ján'!X39+[1]Lozorno!X39+[1]Sološnica!X39</f>
        <v>0</v>
      </c>
      <c r="Y39" s="170">
        <f>[1]Šaštín!Y39+[1]Holíč!Y39+'[1]Mor. Ján'!Y39+[1]Lozorno!Y39+[1]Sološnica!Y39</f>
        <v>0</v>
      </c>
    </row>
    <row r="40" spans="1:25" ht="13.5" thickBot="1" x14ac:dyDescent="0.25">
      <c r="A40" s="289" t="s">
        <v>6</v>
      </c>
      <c r="B40" s="291" t="s">
        <v>22</v>
      </c>
      <c r="C40" s="293">
        <f>SUM(C38:C39)</f>
        <v>113</v>
      </c>
      <c r="D40" s="295">
        <f>SUM(D38:D39)</f>
        <v>297</v>
      </c>
      <c r="E40" s="295">
        <f>SUM(E38:E39)</f>
        <v>500</v>
      </c>
      <c r="F40" s="297">
        <f>SUM(C40:E40)</f>
        <v>910</v>
      </c>
      <c r="G40" s="25"/>
      <c r="H40" s="22" t="s">
        <v>23</v>
      </c>
      <c r="I40" s="23">
        <f>I41-I37-I38-I39</f>
        <v>101</v>
      </c>
      <c r="J40" s="23">
        <f>J41-J37-J38-J39</f>
        <v>141</v>
      </c>
      <c r="K40" s="23">
        <f t="shared" si="3"/>
        <v>242</v>
      </c>
      <c r="L40" s="27" t="s">
        <v>16</v>
      </c>
      <c r="N40" s="171">
        <f>N38+N39</f>
        <v>47</v>
      </c>
      <c r="O40" s="172">
        <f>O38+O39</f>
        <v>158</v>
      </c>
      <c r="P40" s="173">
        <f>SUM(P38:P39)</f>
        <v>238</v>
      </c>
      <c r="Q40" s="173">
        <f t="shared" ref="Q40:Y40" si="10">SUM(Q38:Q39)</f>
        <v>256</v>
      </c>
      <c r="R40" s="173">
        <f t="shared" si="10"/>
        <v>285</v>
      </c>
      <c r="S40" s="173">
        <f t="shared" si="10"/>
        <v>322</v>
      </c>
      <c r="T40" s="173">
        <f t="shared" si="10"/>
        <v>345</v>
      </c>
      <c r="U40" s="173">
        <f t="shared" si="10"/>
        <v>366</v>
      </c>
      <c r="V40" s="173">
        <f t="shared" si="10"/>
        <v>378</v>
      </c>
      <c r="W40" s="173">
        <f t="shared" si="10"/>
        <v>478</v>
      </c>
      <c r="X40" s="173">
        <f t="shared" si="10"/>
        <v>0</v>
      </c>
      <c r="Y40" s="174">
        <f t="shared" si="10"/>
        <v>0</v>
      </c>
    </row>
    <row r="41" spans="1:25" ht="13.5" thickBot="1" x14ac:dyDescent="0.25">
      <c r="A41" s="290"/>
      <c r="B41" s="292"/>
      <c r="C41" s="294"/>
      <c r="D41" s="296"/>
      <c r="E41" s="296"/>
      <c r="F41" s="298"/>
      <c r="G41" s="25"/>
      <c r="H41" s="73" t="s">
        <v>24</v>
      </c>
      <c r="I41" s="74">
        <f>F38+F43</f>
        <v>350</v>
      </c>
      <c r="J41" s="74">
        <f>F39+F44</f>
        <v>560</v>
      </c>
      <c r="K41" s="74">
        <f t="shared" si="3"/>
        <v>910</v>
      </c>
      <c r="L41" s="75" t="s">
        <v>16</v>
      </c>
    </row>
    <row r="42" spans="1:25" ht="13.5" thickBot="1" x14ac:dyDescent="0.25">
      <c r="A42" s="9"/>
      <c r="B42" s="10"/>
      <c r="C42" s="268" t="s">
        <v>35</v>
      </c>
      <c r="D42" s="268"/>
      <c r="E42" s="268"/>
      <c r="F42" s="269"/>
      <c r="G42" s="21"/>
      <c r="H42" s="80"/>
      <c r="I42" s="81"/>
      <c r="J42" s="81"/>
      <c r="K42" s="82"/>
      <c r="L42" s="82"/>
    </row>
    <row r="43" spans="1:25" ht="18" thickBot="1" x14ac:dyDescent="0.3">
      <c r="A43" s="16" t="s">
        <v>17</v>
      </c>
      <c r="B43" s="17" t="s">
        <v>18</v>
      </c>
      <c r="C43" s="18"/>
      <c r="D43" s="19"/>
      <c r="E43" s="19"/>
      <c r="F43" s="20">
        <f t="shared" ref="F43:F48" si="11">SUM(C43:E43)</f>
        <v>0</v>
      </c>
      <c r="G43" s="21"/>
      <c r="H43" s="285" t="s">
        <v>36</v>
      </c>
      <c r="I43" s="268"/>
      <c r="J43" s="268"/>
      <c r="K43" s="268"/>
      <c r="L43" s="269"/>
      <c r="N43" s="343" t="s">
        <v>74</v>
      </c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</row>
    <row r="44" spans="1:25" x14ac:dyDescent="0.2">
      <c r="A44" s="16" t="s">
        <v>20</v>
      </c>
      <c r="B44" s="17" t="s">
        <v>18</v>
      </c>
      <c r="C44" s="18"/>
      <c r="D44" s="19"/>
      <c r="E44" s="19"/>
      <c r="F44" s="20">
        <f t="shared" si="11"/>
        <v>0</v>
      </c>
      <c r="G44" s="21"/>
      <c r="H44" s="22" t="s">
        <v>15</v>
      </c>
      <c r="I44" s="23">
        <f>I32-I37</f>
        <v>4198</v>
      </c>
      <c r="J44" s="23">
        <f t="shared" ref="I44:J46" si="12">J32-J37</f>
        <v>3769</v>
      </c>
      <c r="K44" s="23">
        <f>SUM(I44:J44)</f>
        <v>7967</v>
      </c>
      <c r="L44" s="83" t="s">
        <v>16</v>
      </c>
      <c r="N44" s="175">
        <f>N33-N38</f>
        <v>315</v>
      </c>
      <c r="O44" s="175">
        <f t="shared" ref="O44:Y44" si="13">O33-O38</f>
        <v>2126</v>
      </c>
      <c r="P44" s="175">
        <f t="shared" si="13"/>
        <v>3013</v>
      </c>
      <c r="Q44" s="175">
        <f t="shared" si="13"/>
        <v>6782</v>
      </c>
      <c r="R44" s="175">
        <f t="shared" si="13"/>
        <v>8299</v>
      </c>
      <c r="S44" s="175">
        <f t="shared" si="13"/>
        <v>9538</v>
      </c>
      <c r="T44" s="175">
        <f t="shared" si="13"/>
        <v>9538</v>
      </c>
      <c r="U44" s="175">
        <f t="shared" si="13"/>
        <v>13214</v>
      </c>
      <c r="V44" s="175">
        <f t="shared" si="13"/>
        <v>18882</v>
      </c>
      <c r="W44" s="175">
        <f t="shared" si="13"/>
        <v>22582</v>
      </c>
      <c r="X44" s="175">
        <f t="shared" si="13"/>
        <v>0</v>
      </c>
      <c r="Y44" s="175">
        <f t="shared" si="13"/>
        <v>0</v>
      </c>
    </row>
    <row r="45" spans="1:25" ht="13.5" thickBot="1" x14ac:dyDescent="0.25">
      <c r="A45" s="84" t="s">
        <v>6</v>
      </c>
      <c r="B45" s="85" t="s">
        <v>22</v>
      </c>
      <c r="C45" s="86">
        <f>SUM(C43:C44)</f>
        <v>0</v>
      </c>
      <c r="D45" s="74">
        <f>SUM(D43:D44)</f>
        <v>0</v>
      </c>
      <c r="E45" s="74">
        <f>SUM(E43:E44)</f>
        <v>0</v>
      </c>
      <c r="F45" s="69">
        <f t="shared" si="11"/>
        <v>0</v>
      </c>
      <c r="G45" s="21"/>
      <c r="H45" s="22" t="s">
        <v>19</v>
      </c>
      <c r="I45" s="23">
        <f t="shared" si="12"/>
        <v>4330</v>
      </c>
      <c r="J45" s="23">
        <f t="shared" si="12"/>
        <v>2024</v>
      </c>
      <c r="K45" s="23">
        <f>SUM(I45:J45)</f>
        <v>6354</v>
      </c>
      <c r="L45" s="27" t="s">
        <v>16</v>
      </c>
      <c r="N45" s="176">
        <f>N34-N39</f>
        <v>457</v>
      </c>
      <c r="O45" s="176">
        <f t="shared" ref="O45:Y45" si="14">O34-O39</f>
        <v>3030</v>
      </c>
      <c r="P45" s="176">
        <f t="shared" si="14"/>
        <v>5042</v>
      </c>
      <c r="Q45" s="176">
        <f t="shared" si="14"/>
        <v>6435</v>
      </c>
      <c r="R45" s="176">
        <f t="shared" si="14"/>
        <v>6935</v>
      </c>
      <c r="S45" s="176">
        <f t="shared" si="14"/>
        <v>7379</v>
      </c>
      <c r="T45" s="176">
        <f t="shared" si="14"/>
        <v>7646</v>
      </c>
      <c r="U45" s="176">
        <f t="shared" si="14"/>
        <v>8514</v>
      </c>
      <c r="V45" s="176">
        <f t="shared" si="14"/>
        <v>10423</v>
      </c>
      <c r="W45" s="176">
        <f t="shared" si="14"/>
        <v>11425</v>
      </c>
      <c r="X45" s="176">
        <f t="shared" si="14"/>
        <v>0</v>
      </c>
      <c r="Y45" s="176">
        <f t="shared" si="14"/>
        <v>0</v>
      </c>
    </row>
    <row r="46" spans="1:25" ht="13.5" thickBot="1" x14ac:dyDescent="0.25">
      <c r="A46" s="87" t="s">
        <v>37</v>
      </c>
      <c r="B46" s="88" t="s">
        <v>13</v>
      </c>
      <c r="C46" s="89">
        <v>31.78</v>
      </c>
      <c r="D46" s="13">
        <v>24.76</v>
      </c>
      <c r="E46" s="13">
        <v>2.61</v>
      </c>
      <c r="F46" s="90">
        <f t="shared" si="11"/>
        <v>59.150000000000006</v>
      </c>
      <c r="G46" s="21"/>
      <c r="H46" s="22" t="s">
        <v>21</v>
      </c>
      <c r="I46" s="23">
        <f t="shared" si="12"/>
        <v>3853</v>
      </c>
      <c r="J46" s="23">
        <f>J34-J39</f>
        <v>3213</v>
      </c>
      <c r="K46" s="23">
        <f>SUM(I46:J46)</f>
        <v>7066</v>
      </c>
      <c r="L46" s="27" t="s">
        <v>16</v>
      </c>
      <c r="N46" s="177">
        <f>N44+N45</f>
        <v>772</v>
      </c>
      <c r="O46" s="177">
        <f t="shared" ref="O46:Y46" si="15">O44+O45</f>
        <v>5156</v>
      </c>
      <c r="P46" s="177">
        <f t="shared" si="15"/>
        <v>8055</v>
      </c>
      <c r="Q46" s="177">
        <f t="shared" si="15"/>
        <v>13217</v>
      </c>
      <c r="R46" s="177">
        <f t="shared" si="15"/>
        <v>15234</v>
      </c>
      <c r="S46" s="177">
        <f t="shared" si="15"/>
        <v>16917</v>
      </c>
      <c r="T46" s="177">
        <f t="shared" si="15"/>
        <v>17184</v>
      </c>
      <c r="U46" s="177">
        <f t="shared" si="15"/>
        <v>21728</v>
      </c>
      <c r="V46" s="177">
        <f t="shared" si="15"/>
        <v>29305</v>
      </c>
      <c r="W46" s="177">
        <f t="shared" si="15"/>
        <v>34007</v>
      </c>
      <c r="X46" s="177">
        <f t="shared" si="15"/>
        <v>0</v>
      </c>
      <c r="Y46" s="177">
        <f t="shared" si="15"/>
        <v>0</v>
      </c>
    </row>
    <row r="47" spans="1:25" x14ac:dyDescent="0.2">
      <c r="A47" s="91" t="s">
        <v>38</v>
      </c>
      <c r="B47" s="92" t="s">
        <v>13</v>
      </c>
      <c r="C47" s="18"/>
      <c r="D47" s="19">
        <v>10.8</v>
      </c>
      <c r="E47" s="19"/>
      <c r="F47" s="20">
        <f t="shared" si="11"/>
        <v>10.8</v>
      </c>
      <c r="G47" s="21"/>
      <c r="H47" s="22" t="s">
        <v>23</v>
      </c>
      <c r="I47" s="23">
        <f>I48-I44-I45-I46</f>
        <v>3369</v>
      </c>
      <c r="J47" s="23">
        <f>J48-J44-J45-J46</f>
        <v>1334</v>
      </c>
      <c r="K47" s="23">
        <f>SUM(I47:J47)</f>
        <v>4703</v>
      </c>
      <c r="L47" s="27" t="s">
        <v>16</v>
      </c>
    </row>
    <row r="48" spans="1:25" ht="13.5" thickBot="1" x14ac:dyDescent="0.25">
      <c r="A48" s="93" t="s">
        <v>39</v>
      </c>
      <c r="B48" s="94" t="s">
        <v>13</v>
      </c>
      <c r="C48" s="67">
        <v>84.83</v>
      </c>
      <c r="D48" s="68">
        <v>27.52</v>
      </c>
      <c r="E48" s="68">
        <v>2.2999999999999998</v>
      </c>
      <c r="F48" s="69">
        <f t="shared" si="11"/>
        <v>114.64999999999999</v>
      </c>
      <c r="G48" s="21"/>
      <c r="H48" s="73" t="s">
        <v>24</v>
      </c>
      <c r="I48" s="74">
        <f>I36-I41</f>
        <v>15750</v>
      </c>
      <c r="J48" s="74">
        <f>J36-J41</f>
        <v>10340</v>
      </c>
      <c r="K48" s="74">
        <f>SUM(I48:J48)</f>
        <v>26090</v>
      </c>
      <c r="L48" s="75" t="s">
        <v>16</v>
      </c>
    </row>
    <row r="49" spans="1:25" ht="15.75" thickBot="1" x14ac:dyDescent="0.3">
      <c r="A49" s="361" t="s">
        <v>100</v>
      </c>
      <c r="B49" s="361"/>
      <c r="C49" s="361"/>
      <c r="D49" s="361"/>
      <c r="E49" s="361"/>
      <c r="F49" s="361"/>
      <c r="G49" s="81"/>
      <c r="H49" s="80"/>
      <c r="I49" s="81"/>
      <c r="J49" s="81"/>
      <c r="K49" s="82"/>
      <c r="L49" s="82"/>
      <c r="N49" s="342" t="s">
        <v>75</v>
      </c>
      <c r="O49" s="342"/>
      <c r="P49" s="342"/>
      <c r="Q49" s="342"/>
      <c r="R49" s="342"/>
      <c r="S49" s="342"/>
      <c r="T49" s="342"/>
      <c r="U49" s="342"/>
      <c r="V49" s="342"/>
      <c r="W49" s="342"/>
      <c r="X49" s="342"/>
      <c r="Y49" s="342"/>
    </row>
    <row r="50" spans="1:25" x14ac:dyDescent="0.2">
      <c r="A50" s="9"/>
      <c r="B50" s="10"/>
      <c r="C50" s="268" t="s">
        <v>14</v>
      </c>
      <c r="D50" s="268"/>
      <c r="E50" s="268"/>
      <c r="F50" s="269"/>
      <c r="G50" s="95"/>
      <c r="H50" s="96" t="s">
        <v>40</v>
      </c>
      <c r="I50" s="286" t="s">
        <v>41</v>
      </c>
      <c r="J50" s="286"/>
      <c r="K50" s="287" t="s">
        <v>42</v>
      </c>
      <c r="L50" s="288"/>
      <c r="N50" s="232">
        <f>N44/((I44)*1/3)</f>
        <v>0.22510719390185804</v>
      </c>
      <c r="O50" s="232">
        <f>O44/((I44)*2/3)</f>
        <v>0.75964745116722254</v>
      </c>
      <c r="P50" s="232">
        <f>P44/((I44)*3/3)</f>
        <v>0.71772272510719393</v>
      </c>
      <c r="Q50" s="232">
        <f>Q44/((I44+I45)*4/6)</f>
        <v>1.1928939962476548</v>
      </c>
      <c r="R50" s="232">
        <f>R44/((I44+I45)*5/6)</f>
        <v>1.1677767354596622</v>
      </c>
      <c r="S50" s="232">
        <f>S44/((I44+I45)*6/6)</f>
        <v>1.1184333958724202</v>
      </c>
      <c r="T50" s="232">
        <f>T44/(I44+I45+(I46*1/3))</f>
        <v>0.97204198797431796</v>
      </c>
      <c r="U50" s="232">
        <f>U44/(I44+I45+(I46*2/3))</f>
        <v>1.1908080504656053</v>
      </c>
      <c r="V50" s="232">
        <f>V44/(I44+I45+(I46*3/3))</f>
        <v>1.5250787496971165</v>
      </c>
      <c r="W50" s="236">
        <f>W44/(I44+I45+I46+(I47*1/3))</f>
        <v>1.6722452606635072</v>
      </c>
      <c r="X50" s="175"/>
      <c r="Y50" s="175"/>
    </row>
    <row r="51" spans="1:25" ht="14.25" x14ac:dyDescent="0.2">
      <c r="A51" s="16" t="s">
        <v>17</v>
      </c>
      <c r="B51" s="92" t="s">
        <v>43</v>
      </c>
      <c r="C51" s="18"/>
      <c r="D51" s="19">
        <v>80</v>
      </c>
      <c r="E51" s="19">
        <v>26</v>
      </c>
      <c r="F51" s="51">
        <f>SUM(C51:E51)</f>
        <v>106</v>
      </c>
      <c r="G51" s="95"/>
      <c r="H51" s="22" t="s">
        <v>15</v>
      </c>
      <c r="I51" s="353">
        <v>15.46</v>
      </c>
      <c r="J51" s="356"/>
      <c r="K51" s="353"/>
      <c r="L51" s="355"/>
      <c r="N51" s="233">
        <f>N45/((J44)*1/3)</f>
        <v>0.36375696471212526</v>
      </c>
      <c r="O51" s="233">
        <f>O45/((J44)*2/3)</f>
        <v>1.2058901565401965</v>
      </c>
      <c r="P51" s="233">
        <f>P45/((J44)*3/3)</f>
        <v>1.3377553727779252</v>
      </c>
      <c r="Q51" s="233">
        <f>Q45/((J44+J45)*4/6)</f>
        <v>1.6662351113412739</v>
      </c>
      <c r="R51" s="233">
        <f>R45/((J44+J45)*5/6)</f>
        <v>1.4365613671672708</v>
      </c>
      <c r="S51" s="233">
        <f>S45/((J44+J45)*6/6)</f>
        <v>1.2737786984291386</v>
      </c>
      <c r="T51" s="233">
        <f>T45/(J44+J45+(J46*1/3))</f>
        <v>1.1139277389277389</v>
      </c>
      <c r="U51" s="233">
        <f>U45/(J44+J45+(J46*2/3))</f>
        <v>1.0729678638941398</v>
      </c>
      <c r="V51" s="233">
        <f>V45/(J44+J45+(J46*3/3))</f>
        <v>1.157339551410171</v>
      </c>
      <c r="W51" s="237">
        <f>W45/(J44+J45+J46+(J47*1/3))</f>
        <v>1.2089094243792327</v>
      </c>
      <c r="X51" s="176"/>
      <c r="Y51" s="176"/>
    </row>
    <row r="52" spans="1:25" ht="15" thickBot="1" x14ac:dyDescent="0.25">
      <c r="A52" s="16" t="s">
        <v>20</v>
      </c>
      <c r="B52" s="92" t="s">
        <v>43</v>
      </c>
      <c r="C52" s="18">
        <v>2473</v>
      </c>
      <c r="D52" s="19">
        <v>2078</v>
      </c>
      <c r="E52" s="19">
        <v>240</v>
      </c>
      <c r="F52" s="51">
        <f>SUM(C52:E52)</f>
        <v>4791</v>
      </c>
      <c r="G52" s="95"/>
      <c r="H52" s="22" t="s">
        <v>19</v>
      </c>
      <c r="I52" s="353">
        <v>30.43</v>
      </c>
      <c r="J52" s="356"/>
      <c r="K52" s="353"/>
      <c r="L52" s="355"/>
      <c r="N52" s="231">
        <f>N46/((K44)*1/3)</f>
        <v>0.29069913392745073</v>
      </c>
      <c r="O52" s="231">
        <f>O46/((K44)*2/3)</f>
        <v>0.97075436174218654</v>
      </c>
      <c r="P52" s="231">
        <f>P46/((K44)*3/3)</f>
        <v>1.0110455629471571</v>
      </c>
      <c r="Q52" s="231">
        <f>Q46/((K44+K45)*4/6)</f>
        <v>1.3843656169261922</v>
      </c>
      <c r="R52" s="231">
        <f>R46/((K44+K45)*5/6)</f>
        <v>1.2765030374973816</v>
      </c>
      <c r="S52" s="231">
        <f>S46/((K44+K45)*6/6)</f>
        <v>1.1812722575239158</v>
      </c>
      <c r="T52" s="231">
        <f>T46/(K44+K45+(K46*1/3))</f>
        <v>1.0304423434408043</v>
      </c>
      <c r="U52" s="231">
        <f>U46/(K44+K45+(K46*2/3))</f>
        <v>1.1416761537787896</v>
      </c>
      <c r="V52" s="231">
        <f>V46/(K44+K45+(K46*3/3))</f>
        <v>1.3702249029784448</v>
      </c>
      <c r="W52" s="238">
        <f>W46/(K44+K45+K46+(K47*1/3))</f>
        <v>1.4814852462825279</v>
      </c>
      <c r="X52" s="177">
        <f t="shared" ref="X52:Y52" si="16">X50+X51</f>
        <v>0</v>
      </c>
      <c r="Y52" s="177">
        <f t="shared" si="16"/>
        <v>0</v>
      </c>
    </row>
    <row r="53" spans="1:25" ht="15" thickBot="1" x14ac:dyDescent="0.25">
      <c r="A53" s="97" t="s">
        <v>6</v>
      </c>
      <c r="B53" s="98" t="s">
        <v>43</v>
      </c>
      <c r="C53" s="99">
        <f>SUM(C51:C52)</f>
        <v>2473</v>
      </c>
      <c r="D53" s="100">
        <f>SUM(D51:D52)</f>
        <v>2158</v>
      </c>
      <c r="E53" s="100">
        <f>SUM(E51:E52)</f>
        <v>266</v>
      </c>
      <c r="F53" s="101">
        <f>SUM(C53:E53)</f>
        <v>4897</v>
      </c>
      <c r="G53" s="102"/>
      <c r="H53" s="22" t="s">
        <v>21</v>
      </c>
      <c r="I53" s="353">
        <v>3.56</v>
      </c>
      <c r="J53" s="356"/>
      <c r="K53" s="353">
        <v>3.56</v>
      </c>
      <c r="L53" s="355"/>
    </row>
    <row r="54" spans="1:25" x14ac:dyDescent="0.2">
      <c r="A54" s="9"/>
      <c r="B54" s="10"/>
      <c r="C54" s="268" t="s">
        <v>25</v>
      </c>
      <c r="D54" s="268"/>
      <c r="E54" s="268"/>
      <c r="F54" s="269"/>
      <c r="G54" s="95"/>
      <c r="H54" s="22" t="s">
        <v>23</v>
      </c>
      <c r="I54" s="346">
        <f>I55-I51-I52-I53</f>
        <v>9.7000000000000046</v>
      </c>
      <c r="J54" s="357"/>
      <c r="K54" s="346">
        <f>K55-K51-K52-K53</f>
        <v>7.24</v>
      </c>
      <c r="L54" s="348"/>
    </row>
    <row r="55" spans="1:25" ht="15.75" thickBot="1" x14ac:dyDescent="0.3">
      <c r="A55" s="16" t="s">
        <v>17</v>
      </c>
      <c r="B55" s="92" t="s">
        <v>43</v>
      </c>
      <c r="C55" s="18">
        <v>5571</v>
      </c>
      <c r="D55" s="18">
        <v>3733</v>
      </c>
      <c r="E55" s="18">
        <v>2626</v>
      </c>
      <c r="F55" s="51">
        <f>SUM(C55:E55)</f>
        <v>11930</v>
      </c>
      <c r="G55" s="95"/>
      <c r="H55" s="73" t="s">
        <v>24</v>
      </c>
      <c r="I55" s="349">
        <f>F46</f>
        <v>59.150000000000006</v>
      </c>
      <c r="J55" s="284"/>
      <c r="K55" s="349">
        <f>F47</f>
        <v>10.8</v>
      </c>
      <c r="L55" s="351"/>
      <c r="N55" s="342" t="s">
        <v>76</v>
      </c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</row>
    <row r="56" spans="1:25" ht="15" thickBot="1" x14ac:dyDescent="0.25">
      <c r="A56" s="16" t="s">
        <v>20</v>
      </c>
      <c r="B56" s="92" t="s">
        <v>43</v>
      </c>
      <c r="C56" s="18">
        <v>1282</v>
      </c>
      <c r="D56" s="18">
        <v>3504</v>
      </c>
      <c r="E56" s="18">
        <v>760</v>
      </c>
      <c r="F56" s="51">
        <f>SUM(C56:E56)</f>
        <v>5546</v>
      </c>
      <c r="G56" s="95"/>
      <c r="H56" s="103"/>
      <c r="I56" s="95"/>
      <c r="J56" s="95"/>
      <c r="K56" s="82"/>
      <c r="L56" s="82"/>
      <c r="N56" s="232">
        <f>N44/I48</f>
        <v>0.02</v>
      </c>
      <c r="O56" s="232">
        <f>O44/I48</f>
        <v>0.13498412698412698</v>
      </c>
      <c r="P56" s="232">
        <f>P44/I48</f>
        <v>0.19130158730158731</v>
      </c>
      <c r="Q56" s="232">
        <f>Q44/I48</f>
        <v>0.4306031746031746</v>
      </c>
      <c r="R56" s="232">
        <f>R44/I48</f>
        <v>0.5269206349206349</v>
      </c>
      <c r="S56" s="232">
        <f>S44/I48</f>
        <v>0.60558730158730156</v>
      </c>
      <c r="T56" s="232">
        <f>T44/I48</f>
        <v>0.60558730158730156</v>
      </c>
      <c r="U56" s="232">
        <f>U44/I48</f>
        <v>0.83898412698412694</v>
      </c>
      <c r="V56" s="232">
        <f>V44/I48</f>
        <v>1.1988571428571428</v>
      </c>
      <c r="W56" s="232">
        <f>W44/I48</f>
        <v>1.4337777777777778</v>
      </c>
      <c r="X56" s="175"/>
      <c r="Y56" s="175"/>
    </row>
    <row r="57" spans="1:25" ht="14.25" x14ac:dyDescent="0.2">
      <c r="A57" s="77" t="s">
        <v>6</v>
      </c>
      <c r="B57" s="27" t="s">
        <v>43</v>
      </c>
      <c r="C57" s="79">
        <f>SUM(C55:C56)</f>
        <v>6853</v>
      </c>
      <c r="D57" s="23">
        <f>SUM(D55:D56)</f>
        <v>7237</v>
      </c>
      <c r="E57" s="23">
        <f>SUM(E55:E56)</f>
        <v>3386</v>
      </c>
      <c r="F57" s="104">
        <f>SUM(C57:E57)</f>
        <v>17476</v>
      </c>
      <c r="G57" s="102"/>
      <c r="H57" s="96" t="s">
        <v>40</v>
      </c>
      <c r="I57" s="267" t="s">
        <v>39</v>
      </c>
      <c r="J57" s="268"/>
      <c r="K57" s="268"/>
      <c r="L57" s="269"/>
      <c r="N57" s="233">
        <f>N45/J48</f>
        <v>4.4197292069632493E-2</v>
      </c>
      <c r="O57" s="233">
        <f>O45/J48</f>
        <v>0.29303675048355898</v>
      </c>
      <c r="P57" s="233">
        <f>P45/J48</f>
        <v>0.48762088974854934</v>
      </c>
      <c r="Q57" s="233">
        <f>Q45/J48</f>
        <v>0.62234042553191493</v>
      </c>
      <c r="R57" s="233">
        <f>R45/J48</f>
        <v>0.67069632495164411</v>
      </c>
      <c r="S57" s="233">
        <f>S45/J48</f>
        <v>0.71363636363636362</v>
      </c>
      <c r="T57" s="233">
        <f>T45/J48</f>
        <v>0.73945841392649903</v>
      </c>
      <c r="U57" s="233">
        <f>U45/J48</f>
        <v>0.82340425531914896</v>
      </c>
      <c r="V57" s="233">
        <f>V45/J48</f>
        <v>1.008027079303675</v>
      </c>
      <c r="W57" s="233">
        <f>W45/J48</f>
        <v>1.1049323017408124</v>
      </c>
      <c r="X57" s="176"/>
      <c r="Y57" s="176"/>
    </row>
    <row r="58" spans="1:25" ht="13.5" thickBot="1" x14ac:dyDescent="0.25">
      <c r="A58" s="47" t="s">
        <v>26</v>
      </c>
      <c r="B58" s="48" t="s">
        <v>13</v>
      </c>
      <c r="C58" s="105">
        <v>127</v>
      </c>
      <c r="D58" s="106">
        <v>158</v>
      </c>
      <c r="E58" s="106">
        <v>22</v>
      </c>
      <c r="F58" s="107">
        <f>SUM(C58:E58)</f>
        <v>307</v>
      </c>
      <c r="G58" s="108"/>
      <c r="H58" s="22" t="s">
        <v>15</v>
      </c>
      <c r="I58" s="353">
        <v>10.96</v>
      </c>
      <c r="J58" s="354"/>
      <c r="K58" s="354"/>
      <c r="L58" s="355"/>
      <c r="N58" s="231">
        <f>N46/K48</f>
        <v>2.9589881180528937E-2</v>
      </c>
      <c r="O58" s="231">
        <f>O46/K48</f>
        <v>0.19762361057876582</v>
      </c>
      <c r="P58" s="231">
        <f>P46/K48</f>
        <v>0.30873898045228054</v>
      </c>
      <c r="Q58" s="231">
        <f>Q46/K48</f>
        <v>0.5065925642008432</v>
      </c>
      <c r="R58" s="231">
        <f>R46/K48</f>
        <v>0.58390187811422001</v>
      </c>
      <c r="S58" s="231">
        <f>S46/K48</f>
        <v>0.64840935224223839</v>
      </c>
      <c r="T58" s="231">
        <f>T46/K48</f>
        <v>0.65864315829819853</v>
      </c>
      <c r="U58" s="231">
        <f>U46/K48</f>
        <v>0.83280950555768496</v>
      </c>
      <c r="V58" s="231">
        <f>V46/K48</f>
        <v>1.1232272901494826</v>
      </c>
      <c r="W58" s="231">
        <f>W46/K48</f>
        <v>1.3034495975469529</v>
      </c>
      <c r="X58" s="177">
        <f t="shared" ref="X58:Y58" si="17">X56+X57</f>
        <v>0</v>
      </c>
      <c r="Y58" s="177">
        <f t="shared" si="17"/>
        <v>0</v>
      </c>
    </row>
    <row r="59" spans="1:25" ht="13.5" thickBot="1" x14ac:dyDescent="0.25">
      <c r="A59" s="109" t="s">
        <v>27</v>
      </c>
      <c r="B59" s="110" t="s">
        <v>28</v>
      </c>
      <c r="C59" s="111">
        <f>IF(C58=0,0,ROUND((C57/C58),2))</f>
        <v>53.96</v>
      </c>
      <c r="D59" s="112">
        <f>IF(D58=0,0,ROUND((D57/D58),2))</f>
        <v>45.8</v>
      </c>
      <c r="E59" s="112">
        <f>IF(E58=0,0,ROUND((E57/E58),2))</f>
        <v>153.91</v>
      </c>
      <c r="F59" s="113">
        <f>IF(F58=0,0,ROUND((F57/F58),2))</f>
        <v>56.93</v>
      </c>
      <c r="G59" s="114"/>
      <c r="H59" s="22" t="s">
        <v>19</v>
      </c>
      <c r="I59" s="353">
        <v>18.61</v>
      </c>
      <c r="J59" s="354"/>
      <c r="K59" s="354"/>
      <c r="L59" s="355"/>
    </row>
    <row r="60" spans="1:25" x14ac:dyDescent="0.2">
      <c r="A60" s="9"/>
      <c r="B60" s="10"/>
      <c r="C60" s="268" t="s">
        <v>29</v>
      </c>
      <c r="D60" s="268"/>
      <c r="E60" s="268"/>
      <c r="F60" s="269"/>
      <c r="G60" s="95"/>
      <c r="H60" s="22" t="s">
        <v>21</v>
      </c>
      <c r="I60" s="353">
        <v>76.569999999999993</v>
      </c>
      <c r="J60" s="354"/>
      <c r="K60" s="354"/>
      <c r="L60" s="355"/>
    </row>
    <row r="61" spans="1:25" ht="15.75" thickBot="1" x14ac:dyDescent="0.25">
      <c r="A61" s="16" t="s">
        <v>44</v>
      </c>
      <c r="B61" s="92" t="s">
        <v>43</v>
      </c>
      <c r="C61" s="18">
        <v>1489</v>
      </c>
      <c r="D61" s="18">
        <v>15</v>
      </c>
      <c r="E61" s="19"/>
      <c r="F61" s="51">
        <f>SUM(C61:E61)</f>
        <v>1504</v>
      </c>
      <c r="G61" s="95"/>
      <c r="H61" s="22" t="s">
        <v>23</v>
      </c>
      <c r="I61" s="346">
        <f>I62-I58-I59-I60</f>
        <v>8.5100000000000051</v>
      </c>
      <c r="J61" s="347"/>
      <c r="K61" s="347"/>
      <c r="L61" s="348"/>
      <c r="N61" s="270" t="s">
        <v>96</v>
      </c>
      <c r="O61" s="270"/>
      <c r="P61" s="270"/>
      <c r="Q61" s="270"/>
      <c r="R61" s="270"/>
      <c r="S61" s="270"/>
      <c r="T61" s="270"/>
      <c r="U61" s="270"/>
      <c r="V61" s="270"/>
      <c r="W61" s="270"/>
      <c r="X61" s="270"/>
      <c r="Y61" s="270"/>
    </row>
    <row r="62" spans="1:25" ht="15" thickBot="1" x14ac:dyDescent="0.25">
      <c r="A62" s="16" t="s">
        <v>45</v>
      </c>
      <c r="B62" s="92" t="s">
        <v>43</v>
      </c>
      <c r="C62" s="18">
        <v>335</v>
      </c>
      <c r="D62" s="18">
        <v>24</v>
      </c>
      <c r="E62" s="19"/>
      <c r="F62" s="51">
        <f>SUM(C62:E62)</f>
        <v>359</v>
      </c>
      <c r="G62" s="95"/>
      <c r="H62" s="73" t="s">
        <v>24</v>
      </c>
      <c r="I62" s="349">
        <f>F48</f>
        <v>114.64999999999999</v>
      </c>
      <c r="J62" s="350"/>
      <c r="K62" s="350"/>
      <c r="L62" s="351"/>
      <c r="M62" s="210" t="s">
        <v>94</v>
      </c>
      <c r="N62" s="175"/>
      <c r="O62" s="175">
        <v>0</v>
      </c>
      <c r="P62" s="175">
        <v>2.2999999999999998</v>
      </c>
      <c r="Q62" s="175">
        <v>44.15</v>
      </c>
      <c r="R62" s="175">
        <v>47.27</v>
      </c>
      <c r="S62" s="175">
        <v>47.27</v>
      </c>
      <c r="T62" s="175">
        <v>47.27</v>
      </c>
      <c r="U62" s="175">
        <v>47.27</v>
      </c>
      <c r="V62" s="175">
        <v>47.27</v>
      </c>
      <c r="W62" s="175">
        <v>47.27</v>
      </c>
      <c r="X62" s="175">
        <f t="shared" ref="W62:Y62" si="18">X47-X56</f>
        <v>0</v>
      </c>
      <c r="Y62" s="227">
        <f t="shared" si="18"/>
        <v>0</v>
      </c>
    </row>
    <row r="63" spans="1:25" ht="15" thickBot="1" x14ac:dyDescent="0.25">
      <c r="A63" s="42" t="s">
        <v>6</v>
      </c>
      <c r="B63" s="115" t="s">
        <v>46</v>
      </c>
      <c r="C63" s="60">
        <f>SUM(C61:C62)</f>
        <v>1824</v>
      </c>
      <c r="D63" s="61">
        <f>SUM(D61:D62)</f>
        <v>39</v>
      </c>
      <c r="E63" s="61">
        <f>SUM(E61:E62)</f>
        <v>0</v>
      </c>
      <c r="F63" s="104">
        <f>SUM(C63:E63)</f>
        <v>1863</v>
      </c>
      <c r="G63" s="102"/>
      <c r="H63" s="103"/>
      <c r="I63" s="95"/>
      <c r="J63" s="95"/>
      <c r="K63" s="82"/>
      <c r="L63" s="82"/>
      <c r="M63" s="225" t="s">
        <v>95</v>
      </c>
      <c r="N63" s="175">
        <f>N62-(I51*1/3)</f>
        <v>-5.1533333333333333</v>
      </c>
      <c r="O63" s="175">
        <f>O62-((I51)*2/3)</f>
        <v>-10.306666666666667</v>
      </c>
      <c r="P63" s="175">
        <f>P62-((I51)*3/3)</f>
        <v>-13.16</v>
      </c>
      <c r="Q63" s="175">
        <f>Q62-((I51+I52))</f>
        <v>-1.740000000000002</v>
      </c>
      <c r="R63" s="175">
        <f>R62-((I51+I52))</f>
        <v>1.3800000000000026</v>
      </c>
      <c r="S63" s="175">
        <f>S62-(I51+I52)</f>
        <v>1.3800000000000026</v>
      </c>
      <c r="T63" s="175">
        <f>T62-(I51+I52+I53)</f>
        <v>-2.1799999999999997</v>
      </c>
      <c r="U63" s="175">
        <f>U62-(I51+I52+I53)</f>
        <v>-2.1799999999999997</v>
      </c>
      <c r="V63" s="175">
        <f>V62-(I51+I52+I53)</f>
        <v>-2.1799999999999997</v>
      </c>
      <c r="W63" s="226">
        <f>W62-((I51+I52+I53+I54)*10/12)</f>
        <v>-2.0216666666666612</v>
      </c>
      <c r="X63" s="226"/>
      <c r="Y63" s="228"/>
    </row>
    <row r="64" spans="1:25" ht="13.5" thickBot="1" x14ac:dyDescent="0.25">
      <c r="A64" s="47" t="s">
        <v>26</v>
      </c>
      <c r="B64" s="48" t="s">
        <v>13</v>
      </c>
      <c r="C64" s="105">
        <v>85</v>
      </c>
      <c r="D64" s="106">
        <v>2</v>
      </c>
      <c r="E64" s="106"/>
      <c r="F64" s="107">
        <f>SUM(C64:E64)</f>
        <v>87</v>
      </c>
      <c r="G64" s="108"/>
      <c r="H64" s="103"/>
      <c r="I64" s="95"/>
      <c r="J64" s="95"/>
      <c r="K64" s="82"/>
      <c r="L64" s="82"/>
      <c r="M64" s="229" t="s">
        <v>93</v>
      </c>
      <c r="N64" s="235">
        <f>N62/((I51)*1/3)</f>
        <v>0</v>
      </c>
      <c r="O64" s="235">
        <f>O62/((I51)*2/3)</f>
        <v>0</v>
      </c>
      <c r="P64" s="235">
        <f>P62/(I51*3/3)</f>
        <v>0.14877102199223802</v>
      </c>
      <c r="Q64" s="235">
        <f>Q62/((I51+I52))</f>
        <v>0.96208324253650024</v>
      </c>
      <c r="R64" s="235">
        <f>R62/((I51+I52))</f>
        <v>1.0300719110917411</v>
      </c>
      <c r="S64" s="235">
        <f>S62/(I51+I52)</f>
        <v>1.0300719110917411</v>
      </c>
      <c r="T64" s="235">
        <f>T62/(I51+I52+I53)</f>
        <v>0.95591506572295248</v>
      </c>
      <c r="U64" s="235">
        <f>U62/(I51+I52+I53)</f>
        <v>0.95591506572295248</v>
      </c>
      <c r="V64" s="235">
        <f>V62/(I51+I52+I53)</f>
        <v>0.95591506572295248</v>
      </c>
      <c r="W64" s="239">
        <f>W62/((I51+I52+I53+I54)*10/12)</f>
        <v>0.95898562975486068</v>
      </c>
      <c r="X64" s="230">
        <f t="shared" ref="W64:Y64" si="19">X48-X57</f>
        <v>0</v>
      </c>
      <c r="Y64" s="179">
        <f t="shared" si="19"/>
        <v>0</v>
      </c>
    </row>
    <row r="65" spans="1:25" ht="13.5" thickBot="1" x14ac:dyDescent="0.25">
      <c r="A65" s="109" t="s">
        <v>27</v>
      </c>
      <c r="B65" s="110" t="s">
        <v>28</v>
      </c>
      <c r="C65" s="111">
        <f>IF(C64=0,0,ROUND((C63/C64),2))</f>
        <v>21.46</v>
      </c>
      <c r="D65" s="112">
        <f>IF(D64=0,0,ROUND((D63/D64),2))</f>
        <v>19.5</v>
      </c>
      <c r="E65" s="112">
        <f>IF(E64=0,0,ROUND((E63/E64),2))</f>
        <v>0</v>
      </c>
      <c r="F65" s="113">
        <f>IF(F64=0,0,ROUND((F63/F64),2))</f>
        <v>21.41</v>
      </c>
      <c r="G65" s="114"/>
      <c r="H65" s="103"/>
      <c r="I65" s="253"/>
      <c r="J65" s="254"/>
      <c r="K65" s="255" t="s">
        <v>101</v>
      </c>
      <c r="L65" s="82"/>
    </row>
    <row r="66" spans="1:25" x14ac:dyDescent="0.2">
      <c r="A66" s="116" t="s">
        <v>37</v>
      </c>
      <c r="B66" s="88" t="s">
        <v>13</v>
      </c>
      <c r="C66" s="89">
        <v>35</v>
      </c>
      <c r="D66" s="13">
        <v>34</v>
      </c>
      <c r="E66" s="13"/>
      <c r="F66" s="117">
        <f>SUM(C66:E66)</f>
        <v>69</v>
      </c>
      <c r="G66" s="95"/>
      <c r="H66" s="103"/>
      <c r="I66" s="256" t="s">
        <v>102</v>
      </c>
      <c r="J66" s="257"/>
      <c r="K66" s="258">
        <f>F51+F55</f>
        <v>12036</v>
      </c>
      <c r="L66" s="82"/>
    </row>
    <row r="67" spans="1:25" ht="15.75" thickBot="1" x14ac:dyDescent="0.25">
      <c r="A67" s="118" t="s">
        <v>39</v>
      </c>
      <c r="B67" s="94" t="s">
        <v>13</v>
      </c>
      <c r="C67" s="67">
        <v>85</v>
      </c>
      <c r="D67" s="68">
        <v>28</v>
      </c>
      <c r="E67" s="68">
        <v>2</v>
      </c>
      <c r="F67" s="119">
        <f>SUM(C67:E67)</f>
        <v>115</v>
      </c>
      <c r="G67" s="95"/>
      <c r="H67" s="103"/>
      <c r="I67" s="256" t="s">
        <v>12</v>
      </c>
      <c r="J67" s="257"/>
      <c r="K67" s="258">
        <f>F52+F56</f>
        <v>10337</v>
      </c>
      <c r="L67" s="82"/>
      <c r="N67" s="270" t="s">
        <v>97</v>
      </c>
      <c r="O67" s="270"/>
      <c r="P67" s="270"/>
      <c r="Q67" s="270"/>
      <c r="R67" s="270"/>
      <c r="S67" s="270"/>
      <c r="T67" s="270"/>
      <c r="U67" s="270"/>
      <c r="V67" s="270"/>
      <c r="W67" s="270"/>
      <c r="X67" s="270"/>
      <c r="Y67" s="270"/>
    </row>
    <row r="68" spans="1:25" ht="13.5" thickBot="1" x14ac:dyDescent="0.25">
      <c r="A68" s="81"/>
      <c r="B68" s="80"/>
      <c r="C68" s="81"/>
      <c r="D68" s="81"/>
      <c r="E68" s="81"/>
      <c r="F68" s="81"/>
      <c r="G68" s="81"/>
      <c r="H68" s="80"/>
      <c r="I68" s="259" t="s">
        <v>103</v>
      </c>
      <c r="J68" s="260"/>
      <c r="K68" s="261">
        <f>SUM(K66:K67)</f>
        <v>22373</v>
      </c>
      <c r="L68" s="82"/>
      <c r="M68" s="210" t="s">
        <v>94</v>
      </c>
      <c r="N68" s="175">
        <v>17</v>
      </c>
      <c r="O68" s="175">
        <v>29</v>
      </c>
      <c r="P68" s="175">
        <v>58.17</v>
      </c>
      <c r="Q68" s="175">
        <v>58.17</v>
      </c>
      <c r="R68" s="175">
        <v>58.17</v>
      </c>
      <c r="S68" s="175">
        <v>61.02</v>
      </c>
      <c r="T68" s="175">
        <v>72.95</v>
      </c>
      <c r="U68" s="175">
        <v>82.87</v>
      </c>
      <c r="V68" s="175">
        <v>87.15</v>
      </c>
      <c r="W68" s="175">
        <v>92.46</v>
      </c>
      <c r="X68" s="175">
        <f>X53-X62</f>
        <v>0</v>
      </c>
      <c r="Y68" s="227">
        <f>Y53-Y62</f>
        <v>0</v>
      </c>
    </row>
    <row r="69" spans="1:25" ht="13.5" thickBot="1" x14ac:dyDescent="0.25">
      <c r="A69" s="120" t="s">
        <v>47</v>
      </c>
      <c r="B69" s="121"/>
      <c r="C69" s="120"/>
      <c r="D69" s="120" t="s">
        <v>48</v>
      </c>
      <c r="E69" s="122"/>
      <c r="F69" s="120" t="s">
        <v>49</v>
      </c>
      <c r="G69" s="120"/>
      <c r="H69" s="123"/>
      <c r="I69" s="120"/>
      <c r="J69" s="81"/>
      <c r="K69" s="82"/>
      <c r="L69" s="82"/>
      <c r="M69" s="225" t="s">
        <v>95</v>
      </c>
      <c r="N69" s="175">
        <f>N68-((I58)*1/3)</f>
        <v>13.346666666666666</v>
      </c>
      <c r="O69" s="175">
        <f>O68-((I58)*2/3)</f>
        <v>21.693333333333332</v>
      </c>
      <c r="P69" s="175">
        <f>P68-((I58)*3/3)</f>
        <v>47.21</v>
      </c>
      <c r="Q69" s="175">
        <f>Q68-((I58+I59)*4/6)</f>
        <v>38.456666666666663</v>
      </c>
      <c r="R69" s="175">
        <f>R68-((I58+I59)*5/6)</f>
        <v>33.528333333333336</v>
      </c>
      <c r="S69" s="175">
        <f>S68-(I58+I59)</f>
        <v>31.450000000000003</v>
      </c>
      <c r="T69" s="175">
        <f>T68-((I58+I59+I60)*7/9)</f>
        <v>-9.6033333333333246</v>
      </c>
      <c r="U69" s="175">
        <f>U68-((I58+I59+I60)*8/9)</f>
        <v>-11.476666666666645</v>
      </c>
      <c r="V69" s="175">
        <f>V68-((I58+I59+I60)*9/9)</f>
        <v>-18.989999999999981</v>
      </c>
      <c r="W69" s="226">
        <f>W68-((I58+I59+I60+I61)*10/12)</f>
        <v>-3.0816666666666777</v>
      </c>
      <c r="X69" s="226"/>
      <c r="Y69" s="228"/>
    </row>
    <row r="70" spans="1:25" ht="13.5" thickBot="1" x14ac:dyDescent="0.25">
      <c r="A70" s="124"/>
      <c r="B70" s="125"/>
      <c r="C70" s="124"/>
      <c r="D70" s="126"/>
      <c r="E70" s="124"/>
      <c r="F70" s="124"/>
      <c r="G70" s="124"/>
      <c r="H70" s="125"/>
      <c r="I70" s="124"/>
      <c r="J70" s="124"/>
      <c r="K70" s="127"/>
      <c r="L70" s="127"/>
      <c r="M70" s="229" t="s">
        <v>93</v>
      </c>
      <c r="N70" s="235">
        <f>N68/((I58)*1/3)</f>
        <v>4.6532846715328464</v>
      </c>
      <c r="O70" s="235">
        <f>O68/((I58)*2/3)</f>
        <v>3.9689781021897805</v>
      </c>
      <c r="P70" s="235">
        <f>P68/((I58)*3/3)</f>
        <v>5.3074817518248176</v>
      </c>
      <c r="Q70" s="235">
        <f>Q68/((I58+I59)*4/6)</f>
        <v>2.9507947243828201</v>
      </c>
      <c r="R70" s="235">
        <f>R68/((I58+I59)*5/6)</f>
        <v>2.3606357795062567</v>
      </c>
      <c r="S70" s="235">
        <f>S68/(I58+I59)</f>
        <v>2.0635779506256342</v>
      </c>
      <c r="T70" s="235">
        <f>T68/((I58+I60+I59)*7/9)</f>
        <v>0.88367116207704099</v>
      </c>
      <c r="U70" s="235">
        <f>U68/((I58+I59+I60)*8/9)</f>
        <v>0.87835641605426817</v>
      </c>
      <c r="V70" s="235">
        <f>V68/((I58+I59+I60)*9/9)</f>
        <v>0.82108535895986445</v>
      </c>
      <c r="W70" s="239">
        <f>W68/((I58+I59+I60+I61)*10/12)</f>
        <v>0.96774531181857815</v>
      </c>
      <c r="X70" s="239">
        <f>X54-X64</f>
        <v>0</v>
      </c>
      <c r="Y70" s="238">
        <f>Y54-Y64</f>
        <v>0</v>
      </c>
    </row>
  </sheetData>
  <mergeCells count="84">
    <mergeCell ref="N43:Y43"/>
    <mergeCell ref="N49:Y49"/>
    <mergeCell ref="N55:Y55"/>
    <mergeCell ref="N27:Y27"/>
    <mergeCell ref="N32:Y32"/>
    <mergeCell ref="N37:Y37"/>
    <mergeCell ref="N1:Y1"/>
    <mergeCell ref="N4:Y4"/>
    <mergeCell ref="N9:Y9"/>
    <mergeCell ref="N15:Y15"/>
    <mergeCell ref="N22:Y22"/>
    <mergeCell ref="C1:K1"/>
    <mergeCell ref="A2:A3"/>
    <mergeCell ref="B2:B3"/>
    <mergeCell ref="C2:C3"/>
    <mergeCell ref="D2:E2"/>
    <mergeCell ref="F2:F3"/>
    <mergeCell ref="H2:L2"/>
    <mergeCell ref="A21:B21"/>
    <mergeCell ref="C22:F22"/>
    <mergeCell ref="C4:F4"/>
    <mergeCell ref="A7:A8"/>
    <mergeCell ref="B7:B8"/>
    <mergeCell ref="C7:C8"/>
    <mergeCell ref="D7:D8"/>
    <mergeCell ref="E7:E8"/>
    <mergeCell ref="F7:F8"/>
    <mergeCell ref="F25:F26"/>
    <mergeCell ref="C9:F9"/>
    <mergeCell ref="H9:L9"/>
    <mergeCell ref="C15:F15"/>
    <mergeCell ref="H15:L15"/>
    <mergeCell ref="A25:A26"/>
    <mergeCell ref="B25:B26"/>
    <mergeCell ref="C25:C26"/>
    <mergeCell ref="D25:D26"/>
    <mergeCell ref="E25:E26"/>
    <mergeCell ref="C27:F27"/>
    <mergeCell ref="A30:A31"/>
    <mergeCell ref="B30:B31"/>
    <mergeCell ref="C30:C31"/>
    <mergeCell ref="D30:D31"/>
    <mergeCell ref="E30:E31"/>
    <mergeCell ref="F30:F31"/>
    <mergeCell ref="C32:F32"/>
    <mergeCell ref="A35:A36"/>
    <mergeCell ref="B35:B36"/>
    <mergeCell ref="C35:C36"/>
    <mergeCell ref="D35:D36"/>
    <mergeCell ref="E35:E36"/>
    <mergeCell ref="F35:F36"/>
    <mergeCell ref="C37:F37"/>
    <mergeCell ref="A40:A41"/>
    <mergeCell ref="B40:B41"/>
    <mergeCell ref="C40:C41"/>
    <mergeCell ref="D40:D41"/>
    <mergeCell ref="E40:E41"/>
    <mergeCell ref="F40:F41"/>
    <mergeCell ref="C42:F42"/>
    <mergeCell ref="H43:L43"/>
    <mergeCell ref="A49:F49"/>
    <mergeCell ref="C50:F50"/>
    <mergeCell ref="I50:J50"/>
    <mergeCell ref="K50:L50"/>
    <mergeCell ref="I51:J51"/>
    <mergeCell ref="K51:L51"/>
    <mergeCell ref="I52:J52"/>
    <mergeCell ref="K52:L52"/>
    <mergeCell ref="I53:J53"/>
    <mergeCell ref="K53:L53"/>
    <mergeCell ref="N61:Y61"/>
    <mergeCell ref="N67:Y67"/>
    <mergeCell ref="I62:L62"/>
    <mergeCell ref="C54:F54"/>
    <mergeCell ref="I54:J54"/>
    <mergeCell ref="K54:L54"/>
    <mergeCell ref="I55:J55"/>
    <mergeCell ref="K55:L55"/>
    <mergeCell ref="I57:L57"/>
    <mergeCell ref="I58:L58"/>
    <mergeCell ref="I59:L59"/>
    <mergeCell ref="C60:F60"/>
    <mergeCell ref="I60:L60"/>
    <mergeCell ref="I61:L61"/>
  </mergeCells>
  <conditionalFormatting sqref="G63 F18:G18 F35:G35 F40:G40 F12:G12 F25:G25 F45:G45 G53 G57 F30:G30">
    <cfRule type="cellIs" dxfId="14" priority="2" stopIfTrue="1" operator="notEqual">
      <formula>F10+F11</formula>
    </cfRule>
  </conditionalFormatting>
  <conditionalFormatting sqref="H31">
    <cfRule type="expression" dxfId="13" priority="3" stopIfTrue="1">
      <formula>F31&lt;&gt;SUM(I27:I31)</formula>
    </cfRule>
  </conditionalFormatting>
  <conditionalFormatting sqref="F63 F53 F57">
    <cfRule type="cellIs" dxfId="12" priority="1" stopIfTrue="1" operator="notEqual">
      <formula>F51+F52</formula>
    </cfRule>
  </conditionalFormatting>
  <printOptions horizontalCentered="1" verticalCentered="1"/>
  <pageMargins left="0" right="0" top="0" bottom="0" header="0.51181102362204722" footer="0.51181102362204722"/>
  <pageSetup paperSize="9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view="pageBreakPreview" topLeftCell="A46" zoomScale="96" zoomScaleNormal="100" zoomScaleSheetLayoutView="96" workbookViewId="0">
      <selection activeCell="W70" sqref="W70"/>
    </sheetView>
  </sheetViews>
  <sheetFormatPr defaultRowHeight="12.75" x14ac:dyDescent="0.2"/>
  <cols>
    <col min="2" max="2" width="10.42578125" customWidth="1"/>
    <col min="3" max="5" width="9.28515625" bestFit="1" customWidth="1"/>
    <col min="6" max="6" width="8.28515625" customWidth="1"/>
    <col min="7" max="7" width="2" customWidth="1"/>
    <col min="9" max="11" width="9.28515625" bestFit="1" customWidth="1"/>
    <col min="12" max="12" width="8.140625" customWidth="1"/>
    <col min="14" max="26" width="9.28515625" customWidth="1"/>
  </cols>
  <sheetData>
    <row r="1" spans="1:25" ht="16.5" thickBot="1" x14ac:dyDescent="0.3">
      <c r="A1" s="1" t="s">
        <v>0</v>
      </c>
      <c r="B1" s="2" t="s">
        <v>51</v>
      </c>
      <c r="C1" s="325" t="s">
        <v>99</v>
      </c>
      <c r="D1" s="325"/>
      <c r="E1" s="325"/>
      <c r="F1" s="325"/>
      <c r="G1" s="325"/>
      <c r="H1" s="325"/>
      <c r="I1" s="325"/>
      <c r="J1" s="325"/>
      <c r="K1" s="325"/>
      <c r="L1" s="2" t="s">
        <v>2</v>
      </c>
      <c r="N1" s="336" t="s">
        <v>54</v>
      </c>
      <c r="O1" s="337"/>
      <c r="P1" s="337"/>
      <c r="Q1" s="337"/>
      <c r="R1" s="337"/>
      <c r="S1" s="337"/>
      <c r="T1" s="338"/>
      <c r="U1" s="338"/>
      <c r="V1" s="338"/>
      <c r="W1" s="338"/>
      <c r="X1" s="338"/>
      <c r="Y1" s="339"/>
    </row>
    <row r="2" spans="1:25" ht="12.75" customHeight="1" thickBot="1" x14ac:dyDescent="0.25">
      <c r="A2" s="385"/>
      <c r="B2" s="328" t="s">
        <v>3</v>
      </c>
      <c r="C2" s="388" t="s">
        <v>4</v>
      </c>
      <c r="D2" s="390" t="s">
        <v>5</v>
      </c>
      <c r="E2" s="391"/>
      <c r="F2" s="392" t="s">
        <v>6</v>
      </c>
      <c r="G2" s="3"/>
      <c r="H2" s="394" t="s">
        <v>7</v>
      </c>
      <c r="I2" s="395"/>
      <c r="J2" s="395"/>
      <c r="K2" s="395"/>
      <c r="L2" s="365"/>
      <c r="N2" s="166" t="s">
        <v>55</v>
      </c>
      <c r="O2" s="167" t="s">
        <v>56</v>
      </c>
      <c r="P2" s="167" t="s">
        <v>57</v>
      </c>
      <c r="Q2" s="167" t="s">
        <v>58</v>
      </c>
      <c r="R2" s="167" t="s">
        <v>59</v>
      </c>
      <c r="S2" s="167" t="s">
        <v>60</v>
      </c>
      <c r="T2" s="167" t="s">
        <v>61</v>
      </c>
      <c r="U2" s="167" t="s">
        <v>62</v>
      </c>
      <c r="V2" s="167" t="s">
        <v>63</v>
      </c>
      <c r="W2" s="167" t="s">
        <v>64</v>
      </c>
      <c r="X2" s="167" t="s">
        <v>65</v>
      </c>
      <c r="Y2" s="168" t="s">
        <v>66</v>
      </c>
    </row>
    <row r="3" spans="1:25" ht="13.5" thickBot="1" x14ac:dyDescent="0.25">
      <c r="A3" s="386"/>
      <c r="B3" s="387"/>
      <c r="C3" s="389"/>
      <c r="D3" s="4" t="s">
        <v>8</v>
      </c>
      <c r="E3" s="5" t="s">
        <v>9</v>
      </c>
      <c r="F3" s="393"/>
      <c r="G3" s="3"/>
      <c r="H3" s="6" t="s">
        <v>10</v>
      </c>
      <c r="I3" s="7" t="s">
        <v>11</v>
      </c>
      <c r="J3" s="7" t="s">
        <v>12</v>
      </c>
      <c r="K3" s="7" t="s">
        <v>6</v>
      </c>
      <c r="L3" s="8" t="s">
        <v>13</v>
      </c>
    </row>
    <row r="4" spans="1:25" ht="13.5" thickBot="1" x14ac:dyDescent="0.25">
      <c r="A4" s="9"/>
      <c r="B4" s="10"/>
      <c r="C4" s="285" t="s">
        <v>14</v>
      </c>
      <c r="D4" s="268"/>
      <c r="E4" s="268"/>
      <c r="F4" s="269"/>
      <c r="G4" s="11"/>
      <c r="H4" s="12" t="s">
        <v>15</v>
      </c>
      <c r="I4" s="13">
        <v>584</v>
      </c>
      <c r="J4" s="13">
        <v>1526</v>
      </c>
      <c r="K4" s="14">
        <f>SUM(I4:J4)</f>
        <v>2110</v>
      </c>
      <c r="L4" s="15" t="s">
        <v>16</v>
      </c>
      <c r="N4" s="340" t="s">
        <v>67</v>
      </c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</row>
    <row r="5" spans="1:25" x14ac:dyDescent="0.2">
      <c r="A5" s="16" t="s">
        <v>17</v>
      </c>
      <c r="B5" s="17" t="s">
        <v>18</v>
      </c>
      <c r="C5" s="18">
        <v>5254</v>
      </c>
      <c r="D5" s="19">
        <v>5215</v>
      </c>
      <c r="E5" s="19">
        <v>381</v>
      </c>
      <c r="F5" s="20">
        <f>SUM(C5:E5)</f>
        <v>10850</v>
      </c>
      <c r="G5" s="21"/>
      <c r="H5" s="22" t="s">
        <v>19</v>
      </c>
      <c r="I5" s="19">
        <v>2819</v>
      </c>
      <c r="J5" s="19">
        <v>1580</v>
      </c>
      <c r="K5" s="23">
        <f>SUM(I5:J5)</f>
        <v>4399</v>
      </c>
      <c r="L5" s="24" t="s">
        <v>16</v>
      </c>
      <c r="N5" s="169">
        <v>10</v>
      </c>
      <c r="O5" s="169">
        <v>10</v>
      </c>
      <c r="P5" s="169">
        <v>10</v>
      </c>
      <c r="Q5" s="169">
        <v>10</v>
      </c>
      <c r="R5" s="169">
        <v>10</v>
      </c>
      <c r="S5" s="169">
        <v>10</v>
      </c>
      <c r="T5" s="169">
        <v>52</v>
      </c>
      <c r="U5" s="169">
        <v>52</v>
      </c>
      <c r="V5" s="169">
        <v>52</v>
      </c>
      <c r="W5" s="169">
        <v>52</v>
      </c>
      <c r="X5" s="169">
        <f>[1]Šaštín!X5+[1]Holíč!X5+'[1]Mor. Ján'!X5+[1]Lozorno!X5+[1]Sološnica!X5</f>
        <v>0</v>
      </c>
      <c r="Y5" s="169">
        <f>[1]Šaštín!Y5+[1]Holíč!Y5+'[1]Mor. Ján'!Y5+[1]Lozorno!Y5+[1]Sološnica!Y5</f>
        <v>0</v>
      </c>
    </row>
    <row r="6" spans="1:25" ht="13.5" thickBot="1" x14ac:dyDescent="0.25">
      <c r="A6" s="16" t="s">
        <v>20</v>
      </c>
      <c r="B6" s="17" t="s">
        <v>18</v>
      </c>
      <c r="C6" s="18">
        <v>1634</v>
      </c>
      <c r="D6" s="19">
        <v>4583</v>
      </c>
      <c r="E6" s="19">
        <v>83</v>
      </c>
      <c r="F6" s="20">
        <f>SUM(C6:E6)</f>
        <v>6300</v>
      </c>
      <c r="G6" s="21"/>
      <c r="H6" s="22" t="s">
        <v>21</v>
      </c>
      <c r="I6" s="19">
        <v>3066</v>
      </c>
      <c r="J6" s="19">
        <v>1592</v>
      </c>
      <c r="K6" s="23">
        <f>SUM(I6:J6)</f>
        <v>4658</v>
      </c>
      <c r="L6" s="24" t="s">
        <v>16</v>
      </c>
      <c r="N6" s="170">
        <v>274</v>
      </c>
      <c r="O6" s="170">
        <v>690</v>
      </c>
      <c r="P6" s="170">
        <v>937</v>
      </c>
      <c r="Q6" s="170">
        <v>1489</v>
      </c>
      <c r="R6" s="170">
        <v>1971</v>
      </c>
      <c r="S6" s="170">
        <v>2172</v>
      </c>
      <c r="T6" s="170">
        <v>2701</v>
      </c>
      <c r="U6" s="170">
        <v>3207</v>
      </c>
      <c r="V6" s="170">
        <v>4172</v>
      </c>
      <c r="W6" s="170">
        <v>4936</v>
      </c>
      <c r="X6" s="170">
        <f>[1]Šaštín!X6+[1]Holíč!X6+'[1]Mor. Ján'!X6+[1]Lozorno!X6+[1]Sološnica!X6</f>
        <v>0</v>
      </c>
      <c r="Y6" s="170">
        <f>[1]Šaštín!Y6+[1]Holíč!Y6+'[1]Mor. Ján'!Y6+[1]Lozorno!Y6+[1]Sološnica!Y6</f>
        <v>0</v>
      </c>
    </row>
    <row r="7" spans="1:25" ht="13.5" thickBot="1" x14ac:dyDescent="0.25">
      <c r="A7" s="320" t="s">
        <v>6</v>
      </c>
      <c r="B7" s="321" t="s">
        <v>22</v>
      </c>
      <c r="C7" s="368">
        <f>SUM(C5:C6)</f>
        <v>6888</v>
      </c>
      <c r="D7" s="359">
        <f>SUM(D5:D6)</f>
        <v>9798</v>
      </c>
      <c r="E7" s="359">
        <f>SUM(E5:E6)</f>
        <v>464</v>
      </c>
      <c r="F7" s="360">
        <f>SUM(C7:E7)</f>
        <v>17150</v>
      </c>
      <c r="G7" s="25"/>
      <c r="H7" s="26" t="s">
        <v>23</v>
      </c>
      <c r="I7" s="23">
        <f>I8-I4-I5-I6</f>
        <v>4381</v>
      </c>
      <c r="J7" s="23">
        <f>J8-J4-J5-J6</f>
        <v>1602</v>
      </c>
      <c r="K7" s="23">
        <f>SUM(I7:J7)</f>
        <v>5983</v>
      </c>
      <c r="L7" s="27" t="s">
        <v>16</v>
      </c>
      <c r="N7" s="171">
        <f>N5+N6</f>
        <v>284</v>
      </c>
      <c r="O7" s="172">
        <f>O5+O6</f>
        <v>700</v>
      </c>
      <c r="P7" s="173">
        <f>SUM(P5:P6)</f>
        <v>947</v>
      </c>
      <c r="Q7" s="173">
        <f t="shared" ref="Q7:Y7" si="0">SUM(Q5:Q6)</f>
        <v>1499</v>
      </c>
      <c r="R7" s="173">
        <f t="shared" si="0"/>
        <v>1981</v>
      </c>
      <c r="S7" s="173">
        <f t="shared" si="0"/>
        <v>2182</v>
      </c>
      <c r="T7" s="173">
        <f t="shared" si="0"/>
        <v>2753</v>
      </c>
      <c r="U7" s="173">
        <f t="shared" si="0"/>
        <v>3259</v>
      </c>
      <c r="V7" s="173">
        <f t="shared" si="0"/>
        <v>4224</v>
      </c>
      <c r="W7" s="173">
        <f t="shared" si="0"/>
        <v>4988</v>
      </c>
      <c r="X7" s="173">
        <f t="shared" si="0"/>
        <v>0</v>
      </c>
      <c r="Y7" s="174">
        <f t="shared" si="0"/>
        <v>0</v>
      </c>
    </row>
    <row r="8" spans="1:25" ht="13.5" thickBot="1" x14ac:dyDescent="0.25">
      <c r="A8" s="366"/>
      <c r="B8" s="367"/>
      <c r="C8" s="369"/>
      <c r="D8" s="370"/>
      <c r="E8" s="370"/>
      <c r="F8" s="371"/>
      <c r="G8" s="25"/>
      <c r="H8" s="28" t="s">
        <v>24</v>
      </c>
      <c r="I8" s="29">
        <f>F5</f>
        <v>10850</v>
      </c>
      <c r="J8" s="29">
        <f>F6</f>
        <v>6300</v>
      </c>
      <c r="K8" s="29">
        <f>SUM(I8:J8)</f>
        <v>17150</v>
      </c>
      <c r="L8" s="30" t="s">
        <v>16</v>
      </c>
    </row>
    <row r="9" spans="1:25" ht="13.5" thickBot="1" x14ac:dyDescent="0.25">
      <c r="A9" s="31"/>
      <c r="B9" s="32"/>
      <c r="C9" s="285" t="s">
        <v>25</v>
      </c>
      <c r="D9" s="268"/>
      <c r="E9" s="268"/>
      <c r="F9" s="269"/>
      <c r="G9" s="21"/>
      <c r="H9" s="382"/>
      <c r="I9" s="383"/>
      <c r="J9" s="383"/>
      <c r="K9" s="383"/>
      <c r="L9" s="384"/>
      <c r="N9" s="341" t="s">
        <v>68</v>
      </c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</row>
    <row r="10" spans="1:25" x14ac:dyDescent="0.2">
      <c r="A10" s="16" t="s">
        <v>17</v>
      </c>
      <c r="B10" s="17" t="s">
        <v>18</v>
      </c>
      <c r="C10" s="18">
        <v>2921</v>
      </c>
      <c r="D10" s="19">
        <v>3018</v>
      </c>
      <c r="E10" s="19">
        <v>1138</v>
      </c>
      <c r="F10" s="20">
        <f>SUM(C10:E10)</f>
        <v>7077</v>
      </c>
      <c r="G10" s="21"/>
      <c r="H10" s="22" t="s">
        <v>15</v>
      </c>
      <c r="I10" s="19">
        <v>261</v>
      </c>
      <c r="J10" s="19">
        <v>254</v>
      </c>
      <c r="K10" s="23">
        <f>SUM(I10:J10)</f>
        <v>515</v>
      </c>
      <c r="L10" s="33">
        <v>19.96</v>
      </c>
      <c r="N10" s="169"/>
      <c r="O10" s="169"/>
      <c r="P10" s="169">
        <v>117</v>
      </c>
      <c r="Q10" s="169">
        <v>209</v>
      </c>
      <c r="R10" s="169">
        <v>406</v>
      </c>
      <c r="S10" s="169">
        <v>484</v>
      </c>
      <c r="T10" s="169">
        <v>615</v>
      </c>
      <c r="U10" s="169">
        <v>641</v>
      </c>
      <c r="V10" s="169">
        <v>689</v>
      </c>
      <c r="W10" s="169">
        <v>689</v>
      </c>
      <c r="X10" s="169">
        <f>[1]Šaštín!X10+[1]Holíč!X10+'[1]Mor. Ján'!X10+[1]Lozorno!X10+[1]Sološnica!X10</f>
        <v>0</v>
      </c>
      <c r="Y10" s="169">
        <f>[1]Šaštín!Y10+[1]Holíč!Y10+'[1]Mor. Ján'!Y10+[1]Lozorno!Y10+[1]Sološnica!Y10</f>
        <v>0</v>
      </c>
    </row>
    <row r="11" spans="1:25" ht="13.5" thickBot="1" x14ac:dyDescent="0.25">
      <c r="A11" s="34" t="s">
        <v>20</v>
      </c>
      <c r="B11" s="35" t="s">
        <v>18</v>
      </c>
      <c r="C11" s="36">
        <v>604</v>
      </c>
      <c r="D11" s="37">
        <v>868</v>
      </c>
      <c r="E11" s="37">
        <v>17</v>
      </c>
      <c r="F11" s="38">
        <f>SUM(C11:E11)</f>
        <v>1489</v>
      </c>
      <c r="G11" s="21"/>
      <c r="H11" s="39" t="s">
        <v>19</v>
      </c>
      <c r="I11" s="37">
        <v>978</v>
      </c>
      <c r="J11" s="37">
        <v>181</v>
      </c>
      <c r="K11" s="40">
        <f>SUM(I11:J11)</f>
        <v>1159</v>
      </c>
      <c r="L11" s="41">
        <v>48.82</v>
      </c>
      <c r="N11" s="170">
        <v>152</v>
      </c>
      <c r="O11" s="170">
        <v>269</v>
      </c>
      <c r="P11" s="170">
        <v>470</v>
      </c>
      <c r="Q11" s="170">
        <v>514</v>
      </c>
      <c r="R11" s="170">
        <v>602</v>
      </c>
      <c r="S11" s="170">
        <v>652</v>
      </c>
      <c r="T11" s="170">
        <v>660</v>
      </c>
      <c r="U11" s="170">
        <v>671</v>
      </c>
      <c r="V11" s="170">
        <v>1009</v>
      </c>
      <c r="W11" s="170">
        <v>1200</v>
      </c>
      <c r="X11" s="170">
        <f>[1]Šaštín!X11+[1]Holíč!X11+'[1]Mor. Ján'!X11+[1]Lozorno!X11+[1]Sološnica!X11</f>
        <v>0</v>
      </c>
      <c r="Y11" s="170">
        <f>[1]Šaštín!Y11+[1]Holíč!Y11+'[1]Mor. Ján'!Y11+[1]Lozorno!Y11+[1]Sološnica!Y11</f>
        <v>0</v>
      </c>
    </row>
    <row r="12" spans="1:25" ht="13.5" thickBot="1" x14ac:dyDescent="0.25">
      <c r="A12" s="42" t="s">
        <v>6</v>
      </c>
      <c r="B12" s="43" t="s">
        <v>22</v>
      </c>
      <c r="C12" s="44">
        <f>SUM(C10:C11)</f>
        <v>3525</v>
      </c>
      <c r="D12" s="45">
        <f>SUM(D10:D11)</f>
        <v>3886</v>
      </c>
      <c r="E12" s="45">
        <f>SUM(E10:E11)</f>
        <v>1155</v>
      </c>
      <c r="F12" s="46">
        <f>SUM(C12:E12)</f>
        <v>8566</v>
      </c>
      <c r="G12" s="21"/>
      <c r="H12" s="22" t="s">
        <v>21</v>
      </c>
      <c r="I12" s="19">
        <v>3759</v>
      </c>
      <c r="J12" s="19">
        <v>968</v>
      </c>
      <c r="K12" s="23">
        <f>SUM(I12:J12)</f>
        <v>4727</v>
      </c>
      <c r="L12" s="33">
        <v>154.69</v>
      </c>
      <c r="N12" s="171">
        <f>N10+N11</f>
        <v>152</v>
      </c>
      <c r="O12" s="172">
        <f>O10+O11</f>
        <v>269</v>
      </c>
      <c r="P12" s="173">
        <f>SUM(P10:P11)</f>
        <v>587</v>
      </c>
      <c r="Q12" s="173">
        <f t="shared" ref="Q12:Y12" si="1">SUM(Q10:Q11)</f>
        <v>723</v>
      </c>
      <c r="R12" s="173">
        <f t="shared" si="1"/>
        <v>1008</v>
      </c>
      <c r="S12" s="173">
        <f t="shared" si="1"/>
        <v>1136</v>
      </c>
      <c r="T12" s="173">
        <f t="shared" si="1"/>
        <v>1275</v>
      </c>
      <c r="U12" s="173">
        <f t="shared" si="1"/>
        <v>1312</v>
      </c>
      <c r="V12" s="173">
        <f t="shared" si="1"/>
        <v>1698</v>
      </c>
      <c r="W12" s="173">
        <f t="shared" si="1"/>
        <v>1889</v>
      </c>
      <c r="X12" s="173">
        <f t="shared" si="1"/>
        <v>0</v>
      </c>
      <c r="Y12" s="174">
        <f t="shared" si="1"/>
        <v>0</v>
      </c>
    </row>
    <row r="13" spans="1:25" x14ac:dyDescent="0.2">
      <c r="A13" s="47" t="s">
        <v>26</v>
      </c>
      <c r="B13" s="48" t="s">
        <v>13</v>
      </c>
      <c r="C13" s="18">
        <v>123.07</v>
      </c>
      <c r="D13" s="19">
        <v>144.68</v>
      </c>
      <c r="E13" s="19">
        <v>41.25</v>
      </c>
      <c r="F13" s="49">
        <f>SUM(C13:E13)</f>
        <v>309</v>
      </c>
      <c r="G13" s="50"/>
      <c r="H13" s="22" t="s">
        <v>23</v>
      </c>
      <c r="I13" s="23">
        <f>I14-I10-I11-I12</f>
        <v>2079</v>
      </c>
      <c r="J13" s="23">
        <f>J14-J10-J11-J12</f>
        <v>86</v>
      </c>
      <c r="K13" s="23">
        <f>K14-K10-K11-K12</f>
        <v>2165</v>
      </c>
      <c r="L13" s="51">
        <f>L14-L10-L11-L12</f>
        <v>85.53000000000003</v>
      </c>
      <c r="N13">
        <v>3</v>
      </c>
      <c r="O13">
        <v>6</v>
      </c>
      <c r="P13">
        <v>16</v>
      </c>
      <c r="Q13">
        <v>22</v>
      </c>
      <c r="R13">
        <v>33</v>
      </c>
      <c r="S13">
        <v>38</v>
      </c>
      <c r="T13">
        <v>44</v>
      </c>
      <c r="U13">
        <v>46</v>
      </c>
      <c r="V13">
        <v>51</v>
      </c>
      <c r="W13">
        <v>65</v>
      </c>
      <c r="X13">
        <f>[1]Šaštín!X13+[1]Holíč!X13+'[1]Mor. Ján'!X13+[1]Lozorno!X13+[1]Sološnica!X13</f>
        <v>0</v>
      </c>
      <c r="Y13">
        <f>[1]Šaštín!Y13+[1]Holíč!Y13+'[1]Mor. Ján'!Y13+[1]Lozorno!Y13+[1]Sološnica!Y13</f>
        <v>0</v>
      </c>
    </row>
    <row r="14" spans="1:25" ht="13.5" thickBot="1" x14ac:dyDescent="0.25">
      <c r="A14" s="52" t="s">
        <v>27</v>
      </c>
      <c r="B14" s="53" t="s">
        <v>28</v>
      </c>
      <c r="C14" s="54">
        <f>IF(C13=0,0,ROUND((C12/C13),2))</f>
        <v>28.64</v>
      </c>
      <c r="D14" s="55">
        <f>IF(D13=0,0,ROUND((D12/D13),2))</f>
        <v>26.86</v>
      </c>
      <c r="E14" s="55">
        <f>IF(E13=0,0,ROUND((E12/E13),2))</f>
        <v>28</v>
      </c>
      <c r="F14" s="56">
        <f>IF(F13=0,0,ROUND((F12/F13),2))</f>
        <v>27.72</v>
      </c>
      <c r="G14" s="57"/>
      <c r="H14" s="58" t="s">
        <v>24</v>
      </c>
      <c r="I14" s="29">
        <f>F10</f>
        <v>7077</v>
      </c>
      <c r="J14" s="29">
        <f>F11</f>
        <v>1489</v>
      </c>
      <c r="K14" s="29">
        <f>SUM(I14:J14)</f>
        <v>8566</v>
      </c>
      <c r="L14" s="59">
        <f>F13</f>
        <v>309</v>
      </c>
    </row>
    <row r="15" spans="1:25" ht="13.5" thickBot="1" x14ac:dyDescent="0.25">
      <c r="A15" s="31"/>
      <c r="B15" s="32"/>
      <c r="C15" s="285" t="s">
        <v>29</v>
      </c>
      <c r="D15" s="268"/>
      <c r="E15" s="268"/>
      <c r="F15" s="269"/>
      <c r="G15" s="21"/>
      <c r="H15" s="382"/>
      <c r="I15" s="383"/>
      <c r="J15" s="383"/>
      <c r="K15" s="383"/>
      <c r="L15" s="384"/>
      <c r="N15" s="341" t="s">
        <v>69</v>
      </c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</row>
    <row r="16" spans="1:25" x14ac:dyDescent="0.2">
      <c r="A16" s="16" t="s">
        <v>17</v>
      </c>
      <c r="B16" s="17" t="s">
        <v>18</v>
      </c>
      <c r="C16" s="18">
        <v>2500</v>
      </c>
      <c r="D16" s="19">
        <v>2479</v>
      </c>
      <c r="E16" s="19">
        <v>1085</v>
      </c>
      <c r="F16" s="20">
        <f>SUM(C16:E16)</f>
        <v>6064</v>
      </c>
      <c r="G16" s="21"/>
      <c r="H16" s="22" t="s">
        <v>15</v>
      </c>
      <c r="I16" s="19">
        <v>261</v>
      </c>
      <c r="J16" s="19">
        <v>229</v>
      </c>
      <c r="K16" s="23">
        <f>SUM(I16:J16)</f>
        <v>490</v>
      </c>
      <c r="L16" s="33">
        <v>19.149999999999999</v>
      </c>
      <c r="N16" s="169"/>
      <c r="O16" s="169"/>
      <c r="P16" s="169">
        <v>117</v>
      </c>
      <c r="Q16" s="169">
        <v>209</v>
      </c>
      <c r="R16" s="169">
        <v>406</v>
      </c>
      <c r="S16" s="169">
        <v>484</v>
      </c>
      <c r="T16" s="169">
        <v>615</v>
      </c>
      <c r="U16" s="169">
        <v>641</v>
      </c>
      <c r="V16" s="169">
        <v>689</v>
      </c>
      <c r="W16" s="169">
        <v>689</v>
      </c>
      <c r="X16" s="169">
        <f>[1]Šaštín!X16+[1]Holíč!X16+'[1]Mor. Ján'!X16+[1]Lozorno!X16+[1]Sološnica!X16</f>
        <v>0</v>
      </c>
      <c r="Y16" s="169">
        <f>[1]Šaštín!Y16+[1]Holíč!Y16+'[1]Mor. Ján'!Y16+[1]Lozorno!Y16+[1]Sološnica!Y16</f>
        <v>0</v>
      </c>
    </row>
    <row r="17" spans="1:25" ht="13.5" thickBot="1" x14ac:dyDescent="0.25">
      <c r="A17" s="34" t="s">
        <v>20</v>
      </c>
      <c r="B17" s="35" t="s">
        <v>18</v>
      </c>
      <c r="C17" s="36">
        <v>290</v>
      </c>
      <c r="D17" s="37">
        <v>549</v>
      </c>
      <c r="E17" s="37">
        <v>17</v>
      </c>
      <c r="F17" s="38">
        <f>SUM(C17:E17)</f>
        <v>856</v>
      </c>
      <c r="G17" s="21"/>
      <c r="H17" s="39" t="s">
        <v>19</v>
      </c>
      <c r="I17" s="37">
        <v>272</v>
      </c>
      <c r="J17" s="37">
        <v>181</v>
      </c>
      <c r="K17" s="40">
        <f>SUM(I17:J17)</f>
        <v>453</v>
      </c>
      <c r="L17" s="41">
        <v>17.75</v>
      </c>
      <c r="N17" s="170">
        <v>152</v>
      </c>
      <c r="O17" s="170">
        <v>191</v>
      </c>
      <c r="P17" s="170">
        <v>350</v>
      </c>
      <c r="Q17" s="170">
        <v>394</v>
      </c>
      <c r="R17" s="170">
        <v>456</v>
      </c>
      <c r="S17" s="170">
        <v>504</v>
      </c>
      <c r="T17" s="170">
        <v>513</v>
      </c>
      <c r="U17" s="170">
        <v>524</v>
      </c>
      <c r="V17" s="170">
        <v>533</v>
      </c>
      <c r="W17" s="170">
        <v>671</v>
      </c>
      <c r="X17" s="170">
        <f>[1]Šaštín!X17+[1]Holíč!X17+'[1]Mor. Ján'!X17+[1]Lozorno!X17+[1]Sološnica!X17</f>
        <v>0</v>
      </c>
      <c r="Y17" s="170">
        <f>[1]Šaštín!Y17+[1]Holíč!Y17+'[1]Mor. Ján'!Y17+[1]Lozorno!Y17+[1]Sološnica!Y17</f>
        <v>0</v>
      </c>
    </row>
    <row r="18" spans="1:25" ht="13.5" thickBot="1" x14ac:dyDescent="0.25">
      <c r="A18" s="42" t="s">
        <v>6</v>
      </c>
      <c r="B18" s="43" t="s">
        <v>22</v>
      </c>
      <c r="C18" s="60">
        <f>SUM(C16:C17)</f>
        <v>2790</v>
      </c>
      <c r="D18" s="60">
        <f t="shared" ref="D18:E18" si="2">SUM(D16:D17)</f>
        <v>3028</v>
      </c>
      <c r="E18" s="60">
        <f t="shared" si="2"/>
        <v>1102</v>
      </c>
      <c r="F18" s="160">
        <f>SUM(F16:F17)</f>
        <v>6920</v>
      </c>
      <c r="G18" s="21"/>
      <c r="H18" s="22" t="s">
        <v>21</v>
      </c>
      <c r="I18" s="19">
        <v>2633</v>
      </c>
      <c r="J18" s="19">
        <v>389</v>
      </c>
      <c r="K18" s="23">
        <f>SUM(I18:J18)</f>
        <v>3022</v>
      </c>
      <c r="L18" s="33">
        <v>132.35</v>
      </c>
      <c r="N18" s="171">
        <f>N16+N17</f>
        <v>152</v>
      </c>
      <c r="O18" s="172">
        <f>O16+O17</f>
        <v>191</v>
      </c>
      <c r="P18" s="173">
        <f>SUM(P16:P17)</f>
        <v>467</v>
      </c>
      <c r="Q18" s="173">
        <f t="shared" ref="Q18:Y18" si="3">SUM(Q16:Q17)</f>
        <v>603</v>
      </c>
      <c r="R18" s="173">
        <f t="shared" si="3"/>
        <v>862</v>
      </c>
      <c r="S18" s="173">
        <f t="shared" si="3"/>
        <v>988</v>
      </c>
      <c r="T18" s="173">
        <f t="shared" si="3"/>
        <v>1128</v>
      </c>
      <c r="U18" s="173">
        <f t="shared" si="3"/>
        <v>1165</v>
      </c>
      <c r="V18" s="173">
        <f t="shared" si="3"/>
        <v>1222</v>
      </c>
      <c r="W18" s="173">
        <f t="shared" si="3"/>
        <v>1360</v>
      </c>
      <c r="X18" s="173">
        <f t="shared" si="3"/>
        <v>0</v>
      </c>
      <c r="Y18" s="174">
        <f t="shared" si="3"/>
        <v>0</v>
      </c>
    </row>
    <row r="19" spans="1:25" x14ac:dyDescent="0.2">
      <c r="A19" s="47" t="s">
        <v>26</v>
      </c>
      <c r="B19" s="48" t="s">
        <v>13</v>
      </c>
      <c r="C19" s="18">
        <v>90.25</v>
      </c>
      <c r="D19" s="19">
        <v>113.39</v>
      </c>
      <c r="E19" s="19">
        <v>39.36</v>
      </c>
      <c r="F19" s="49">
        <f>SUM(C19:E19)</f>
        <v>243</v>
      </c>
      <c r="G19" s="50"/>
      <c r="H19" s="22" t="s">
        <v>23</v>
      </c>
      <c r="I19" s="23">
        <f>I20-I16-I17-I18</f>
        <v>2898</v>
      </c>
      <c r="J19" s="23">
        <f>J20-J16-J17-J18</f>
        <v>57</v>
      </c>
      <c r="K19" s="23">
        <f>SUM(I19:J19)</f>
        <v>2955</v>
      </c>
      <c r="L19" s="51">
        <f>L20-L16-L17-L18</f>
        <v>73.75</v>
      </c>
      <c r="N19">
        <v>3</v>
      </c>
      <c r="O19">
        <v>4</v>
      </c>
      <c r="P19">
        <v>13</v>
      </c>
      <c r="Q19">
        <v>19</v>
      </c>
      <c r="R19">
        <v>30</v>
      </c>
      <c r="S19">
        <v>34</v>
      </c>
      <c r="T19">
        <v>40</v>
      </c>
      <c r="U19">
        <v>42</v>
      </c>
      <c r="V19">
        <v>44</v>
      </c>
      <c r="W19">
        <v>48</v>
      </c>
      <c r="X19">
        <f>[1]Šaštín!X19+[1]Holíč!X19+'[1]Mor. Ján'!X19+[1]Lozorno!X19+[1]Sološnica!X19</f>
        <v>0</v>
      </c>
      <c r="Y19">
        <f>[1]Šaštín!Y19+[1]Holíč!Y19+'[1]Mor. Ján'!Y19+[1]Lozorno!Y19+[1]Sološnica!Y19</f>
        <v>0</v>
      </c>
    </row>
    <row r="20" spans="1:25" x14ac:dyDescent="0.2">
      <c r="A20" s="62" t="s">
        <v>27</v>
      </c>
      <c r="B20" s="63" t="s">
        <v>28</v>
      </c>
      <c r="C20" s="65">
        <f>IF(C19=0,0,ROUND((C18/C19),2))</f>
        <v>30.91</v>
      </c>
      <c r="D20" s="65">
        <f>IF(D19=0,0,ROUND((D18/D19),2))</f>
        <v>26.7</v>
      </c>
      <c r="E20" s="65">
        <f>IF(E19=0,0,ROUND((E18/E19),2))</f>
        <v>28</v>
      </c>
      <c r="F20" s="66">
        <f>IF(F19=0,0,ROUND((F18/F19),2))</f>
        <v>28.48</v>
      </c>
      <c r="G20" s="57"/>
      <c r="H20" s="58" t="s">
        <v>24</v>
      </c>
      <c r="I20" s="29">
        <f>F16</f>
        <v>6064</v>
      </c>
      <c r="J20" s="29">
        <f>F17</f>
        <v>856</v>
      </c>
      <c r="K20" s="29">
        <f>SUM(I20:J20)</f>
        <v>6920</v>
      </c>
      <c r="L20" s="59">
        <f>F19</f>
        <v>243</v>
      </c>
    </row>
    <row r="21" spans="1:25" ht="13.5" customHeight="1" thickBot="1" x14ac:dyDescent="0.25">
      <c r="A21" s="318" t="s">
        <v>30</v>
      </c>
      <c r="B21" s="319"/>
      <c r="C21" s="67">
        <v>0</v>
      </c>
      <c r="D21" s="68">
        <v>0</v>
      </c>
      <c r="E21" s="68">
        <v>0</v>
      </c>
      <c r="F21" s="69">
        <f>SUM(C21:E21)</f>
        <v>0</v>
      </c>
      <c r="G21" s="21"/>
      <c r="H21" s="70"/>
      <c r="I21" s="71"/>
      <c r="J21" s="71"/>
      <c r="K21" s="71"/>
      <c r="L21" s="72"/>
    </row>
    <row r="22" spans="1:25" ht="13.5" thickBot="1" x14ac:dyDescent="0.25">
      <c r="A22" s="9"/>
      <c r="B22" s="10"/>
      <c r="C22" s="285" t="s">
        <v>31</v>
      </c>
      <c r="D22" s="268"/>
      <c r="E22" s="268"/>
      <c r="F22" s="269"/>
      <c r="G22" s="21"/>
      <c r="H22" s="12" t="s">
        <v>15</v>
      </c>
      <c r="I22" s="13">
        <v>7005</v>
      </c>
      <c r="J22" s="13">
        <v>20</v>
      </c>
      <c r="K22" s="14">
        <f t="shared" ref="K22:K41" si="4">SUM(I22:J22)</f>
        <v>7025</v>
      </c>
      <c r="L22" s="15" t="s">
        <v>16</v>
      </c>
      <c r="N22" s="341" t="s">
        <v>70</v>
      </c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</row>
    <row r="23" spans="1:25" x14ac:dyDescent="0.2">
      <c r="A23" s="16" t="s">
        <v>17</v>
      </c>
      <c r="B23" s="17" t="s">
        <v>18</v>
      </c>
      <c r="C23" s="18">
        <v>5283</v>
      </c>
      <c r="D23" s="19">
        <v>7530</v>
      </c>
      <c r="E23" s="19">
        <v>2260</v>
      </c>
      <c r="F23" s="20">
        <f>SUM(C23:E23)</f>
        <v>15073</v>
      </c>
      <c r="G23" s="21"/>
      <c r="H23" s="22" t="s">
        <v>19</v>
      </c>
      <c r="I23" s="19">
        <v>5503</v>
      </c>
      <c r="J23" s="19">
        <v>239</v>
      </c>
      <c r="K23" s="23">
        <f t="shared" si="4"/>
        <v>5742</v>
      </c>
      <c r="L23" s="24" t="s">
        <v>16</v>
      </c>
      <c r="N23" s="169">
        <v>6014</v>
      </c>
      <c r="O23" s="169">
        <v>8881</v>
      </c>
      <c r="P23" s="169">
        <v>13873</v>
      </c>
      <c r="Q23" s="169">
        <v>16128</v>
      </c>
      <c r="R23" s="169">
        <v>19738</v>
      </c>
      <c r="S23" s="169">
        <v>24058</v>
      </c>
      <c r="T23" s="169">
        <v>28036</v>
      </c>
      <c r="U23" s="169">
        <v>30227</v>
      </c>
      <c r="V23" s="169">
        <v>30986</v>
      </c>
      <c r="W23" s="169">
        <v>33569</v>
      </c>
      <c r="X23" s="169">
        <f>[1]Šaštín!X23+[1]Holíč!X23+'[1]Mor. Ján'!X23+[1]Lozorno!X23+[1]Sološnica!X23+[1]Benuš!X23</f>
        <v>0</v>
      </c>
      <c r="Y23" s="169">
        <f>[1]Šaštín!Y23+[1]Holíč!Y23+'[1]Mor. Ján'!Y23+[1]Lozorno!Y23+[1]Sološnica!Y23+[1]Benuš!Y23</f>
        <v>0</v>
      </c>
    </row>
    <row r="24" spans="1:25" ht="13.5" thickBot="1" x14ac:dyDescent="0.25">
      <c r="A24" s="16" t="s">
        <v>20</v>
      </c>
      <c r="B24" s="17" t="s">
        <v>18</v>
      </c>
      <c r="C24" s="18">
        <v>261</v>
      </c>
      <c r="D24" s="19">
        <v>350</v>
      </c>
      <c r="E24" s="19">
        <v>100</v>
      </c>
      <c r="F24" s="20">
        <f>SUM(C24:E24)</f>
        <v>711</v>
      </c>
      <c r="G24" s="21"/>
      <c r="H24" s="22" t="s">
        <v>21</v>
      </c>
      <c r="I24" s="19">
        <v>525</v>
      </c>
      <c r="J24" s="19">
        <v>190</v>
      </c>
      <c r="K24" s="23">
        <f t="shared" si="4"/>
        <v>715</v>
      </c>
      <c r="L24" s="24" t="s">
        <v>16</v>
      </c>
      <c r="N24" s="170">
        <v>384</v>
      </c>
      <c r="O24" s="170">
        <v>660</v>
      </c>
      <c r="P24" s="170">
        <v>1419</v>
      </c>
      <c r="Q24" s="170">
        <v>1546</v>
      </c>
      <c r="R24" s="170">
        <v>1749</v>
      </c>
      <c r="S24" s="170">
        <v>1827</v>
      </c>
      <c r="T24" s="170">
        <v>1945</v>
      </c>
      <c r="U24" s="170">
        <v>1982</v>
      </c>
      <c r="V24" s="170">
        <v>2066</v>
      </c>
      <c r="W24" s="170">
        <v>2135</v>
      </c>
      <c r="X24" s="170">
        <f>[1]Šaštín!X24+[1]Holíč!X24+'[1]Mor. Ján'!X24+[1]Lozorno!X24+[1]Sološnica!X24</f>
        <v>0</v>
      </c>
      <c r="Y24" s="170">
        <f>[1]Šaštín!Y24+[1]Holíč!Y24+'[1]Mor. Ján'!Y24+[1]Lozorno!Y24+[1]Sološnica!Y24</f>
        <v>0</v>
      </c>
    </row>
    <row r="25" spans="1:25" ht="13.5" thickBot="1" x14ac:dyDescent="0.25">
      <c r="A25" s="320" t="s">
        <v>6</v>
      </c>
      <c r="B25" s="321" t="s">
        <v>22</v>
      </c>
      <c r="C25" s="368">
        <f>SUM(C23:C24)</f>
        <v>5544</v>
      </c>
      <c r="D25" s="359">
        <f>SUM(D23:D24)</f>
        <v>7880</v>
      </c>
      <c r="E25" s="359">
        <f>E24+E23</f>
        <v>2360</v>
      </c>
      <c r="F25" s="360">
        <f>F24+F23</f>
        <v>15784</v>
      </c>
      <c r="G25" s="25"/>
      <c r="H25" s="22" t="s">
        <v>23</v>
      </c>
      <c r="I25" s="23">
        <f>I26-I22-I23-I24</f>
        <v>2040</v>
      </c>
      <c r="J25" s="23">
        <f>J26-J22-J23-J24</f>
        <v>262</v>
      </c>
      <c r="K25" s="23">
        <f t="shared" si="4"/>
        <v>2302</v>
      </c>
      <c r="L25" s="27" t="s">
        <v>16</v>
      </c>
      <c r="N25" s="171">
        <f>N23+N24</f>
        <v>6398</v>
      </c>
      <c r="O25" s="172">
        <f>O23+O24</f>
        <v>9541</v>
      </c>
      <c r="P25" s="173">
        <f>SUM(P23:P24)</f>
        <v>15292</v>
      </c>
      <c r="Q25" s="173">
        <f t="shared" ref="Q25:Y25" si="5">SUM(Q23:Q24)</f>
        <v>17674</v>
      </c>
      <c r="R25" s="173">
        <f t="shared" si="5"/>
        <v>21487</v>
      </c>
      <c r="S25" s="173">
        <f t="shared" si="5"/>
        <v>25885</v>
      </c>
      <c r="T25" s="173">
        <f t="shared" si="5"/>
        <v>29981</v>
      </c>
      <c r="U25" s="173">
        <f t="shared" si="5"/>
        <v>32209</v>
      </c>
      <c r="V25" s="173">
        <f t="shared" si="5"/>
        <v>33052</v>
      </c>
      <c r="W25" s="173">
        <f t="shared" si="5"/>
        <v>35704</v>
      </c>
      <c r="X25" s="173">
        <f t="shared" si="5"/>
        <v>0</v>
      </c>
      <c r="Y25" s="174">
        <f t="shared" si="5"/>
        <v>0</v>
      </c>
    </row>
    <row r="26" spans="1:25" ht="13.5" thickBot="1" x14ac:dyDescent="0.25">
      <c r="A26" s="366"/>
      <c r="B26" s="367"/>
      <c r="C26" s="369"/>
      <c r="D26" s="370"/>
      <c r="E26" s="370"/>
      <c r="F26" s="371"/>
      <c r="G26" s="25"/>
      <c r="H26" s="73" t="s">
        <v>24</v>
      </c>
      <c r="I26" s="74">
        <f>F23</f>
        <v>15073</v>
      </c>
      <c r="J26" s="74">
        <f>F24</f>
        <v>711</v>
      </c>
      <c r="K26" s="74">
        <f t="shared" si="4"/>
        <v>15784</v>
      </c>
      <c r="L26" s="75" t="s">
        <v>16</v>
      </c>
    </row>
    <row r="27" spans="1:25" ht="13.5" thickBot="1" x14ac:dyDescent="0.25">
      <c r="A27" s="9"/>
      <c r="B27" s="10"/>
      <c r="C27" s="285" t="s">
        <v>32</v>
      </c>
      <c r="D27" s="268"/>
      <c r="E27" s="268"/>
      <c r="F27" s="269"/>
      <c r="G27" s="21"/>
      <c r="H27" s="12" t="s">
        <v>15</v>
      </c>
      <c r="I27" s="13"/>
      <c r="J27" s="13"/>
      <c r="K27" s="14">
        <f t="shared" si="4"/>
        <v>0</v>
      </c>
      <c r="L27" s="15" t="s">
        <v>16</v>
      </c>
      <c r="N27" s="341" t="s">
        <v>71</v>
      </c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</row>
    <row r="28" spans="1:25" x14ac:dyDescent="0.2">
      <c r="A28" s="16" t="s">
        <v>17</v>
      </c>
      <c r="B28" s="17" t="s">
        <v>18</v>
      </c>
      <c r="C28" s="76">
        <v>0</v>
      </c>
      <c r="D28" s="19"/>
      <c r="E28" s="19">
        <v>0</v>
      </c>
      <c r="F28" s="20">
        <f>SUM(C28:E28)</f>
        <v>0</v>
      </c>
      <c r="G28" s="21"/>
      <c r="H28" s="22" t="s">
        <v>19</v>
      </c>
      <c r="I28" s="19"/>
      <c r="J28" s="19"/>
      <c r="K28" s="23">
        <f t="shared" si="4"/>
        <v>0</v>
      </c>
      <c r="L28" s="24" t="s">
        <v>16</v>
      </c>
      <c r="N28" s="169"/>
      <c r="O28" s="169">
        <v>37</v>
      </c>
      <c r="P28" s="169">
        <v>282</v>
      </c>
      <c r="Q28" s="169">
        <v>296</v>
      </c>
      <c r="R28" s="169">
        <v>316</v>
      </c>
      <c r="S28" s="169">
        <v>386</v>
      </c>
      <c r="T28" s="169">
        <v>386</v>
      </c>
      <c r="U28" s="169">
        <v>392</v>
      </c>
      <c r="V28" s="169">
        <v>392</v>
      </c>
      <c r="W28" s="169">
        <v>392</v>
      </c>
      <c r="X28" s="169">
        <f>[1]Šaštín!X28+[1]Holíč!X28+'[1]Mor. Ján'!X28+[1]Lozorno!X28+[1]Sološnica!X28</f>
        <v>0</v>
      </c>
      <c r="Y28" s="169">
        <f>[1]Šaštín!Y28+[1]Holíč!Y28+'[1]Mor. Ján'!Y28+[1]Lozorno!Y28+[1]Sološnica!Y28</f>
        <v>0</v>
      </c>
    </row>
    <row r="29" spans="1:25" ht="13.5" thickBot="1" x14ac:dyDescent="0.25">
      <c r="A29" s="16" t="s">
        <v>20</v>
      </c>
      <c r="B29" s="17" t="s">
        <v>18</v>
      </c>
      <c r="C29" s="76">
        <v>0</v>
      </c>
      <c r="D29" s="19"/>
      <c r="E29" s="19">
        <v>0</v>
      </c>
      <c r="F29" s="20">
        <f>SUM(C29:E29)</f>
        <v>0</v>
      </c>
      <c r="G29" s="21"/>
      <c r="H29" s="22" t="s">
        <v>21</v>
      </c>
      <c r="I29" s="19"/>
      <c r="J29" s="19"/>
      <c r="K29" s="23">
        <f t="shared" si="4"/>
        <v>0</v>
      </c>
      <c r="L29" s="24" t="s">
        <v>16</v>
      </c>
      <c r="N29" s="170"/>
      <c r="O29" s="170"/>
      <c r="P29" s="170">
        <v>33</v>
      </c>
      <c r="Q29" s="170">
        <v>47</v>
      </c>
      <c r="R29" s="170">
        <v>47</v>
      </c>
      <c r="S29" s="170">
        <v>47</v>
      </c>
      <c r="T29" s="170">
        <v>47</v>
      </c>
      <c r="U29" s="170">
        <v>47</v>
      </c>
      <c r="V29" s="170">
        <v>47</v>
      </c>
      <c r="W29" s="170">
        <v>47</v>
      </c>
      <c r="X29" s="170">
        <f>[1]Šaštín!X29+[1]Holíč!X29+'[1]Mor. Ján'!X29+[1]Lozorno!X29+[1]Sološnica!X29</f>
        <v>0</v>
      </c>
      <c r="Y29" s="170">
        <f>[1]Šaštín!Y29+[1]Holíč!Y29+'[1]Mor. Ján'!Y29+[1]Lozorno!Y29+[1]Sološnica!Y29</f>
        <v>0</v>
      </c>
    </row>
    <row r="30" spans="1:25" ht="13.5" thickBot="1" x14ac:dyDescent="0.25">
      <c r="A30" s="372" t="s">
        <v>6</v>
      </c>
      <c r="B30" s="374" t="s">
        <v>22</v>
      </c>
      <c r="C30" s="376">
        <f>SUM(C28:C29)</f>
        <v>0</v>
      </c>
      <c r="D30" s="378">
        <f>SUM(D28:D29)</f>
        <v>0</v>
      </c>
      <c r="E30" s="378">
        <f>SUM(E28:E29)</f>
        <v>0</v>
      </c>
      <c r="F30" s="380">
        <f>SUM(C30:E30)</f>
        <v>0</v>
      </c>
      <c r="G30" s="21"/>
      <c r="H30" s="22" t="s">
        <v>23</v>
      </c>
      <c r="I30" s="23">
        <f>I31-I27-I28-I29</f>
        <v>0</v>
      </c>
      <c r="J30" s="23">
        <f>J31-J27-J28-J29</f>
        <v>0</v>
      </c>
      <c r="K30" s="23">
        <f t="shared" si="4"/>
        <v>0</v>
      </c>
      <c r="L30" s="27" t="s">
        <v>16</v>
      </c>
      <c r="N30" s="171">
        <f>N28+N29</f>
        <v>0</v>
      </c>
      <c r="O30" s="172">
        <f>O28+O29</f>
        <v>37</v>
      </c>
      <c r="P30" s="173">
        <f>SUM(P28:P29)</f>
        <v>315</v>
      </c>
      <c r="Q30" s="173">
        <f t="shared" ref="Q30:Y30" si="6">SUM(Q28:Q29)</f>
        <v>343</v>
      </c>
      <c r="R30" s="173">
        <f t="shared" si="6"/>
        <v>363</v>
      </c>
      <c r="S30" s="173">
        <f t="shared" si="6"/>
        <v>433</v>
      </c>
      <c r="T30" s="173">
        <f t="shared" si="6"/>
        <v>433</v>
      </c>
      <c r="U30" s="173">
        <f t="shared" si="6"/>
        <v>439</v>
      </c>
      <c r="V30" s="173">
        <f t="shared" si="6"/>
        <v>439</v>
      </c>
      <c r="W30" s="173">
        <f t="shared" si="6"/>
        <v>439</v>
      </c>
      <c r="X30" s="173">
        <f t="shared" si="6"/>
        <v>0</v>
      </c>
      <c r="Y30" s="174">
        <f t="shared" si="6"/>
        <v>0</v>
      </c>
    </row>
    <row r="31" spans="1:25" ht="13.5" thickBot="1" x14ac:dyDescent="0.25">
      <c r="A31" s="373"/>
      <c r="B31" s="375"/>
      <c r="C31" s="377"/>
      <c r="D31" s="379"/>
      <c r="E31" s="379"/>
      <c r="F31" s="381"/>
      <c r="G31" s="21"/>
      <c r="H31" s="73" t="s">
        <v>24</v>
      </c>
      <c r="I31" s="74">
        <f>F28</f>
        <v>0</v>
      </c>
      <c r="J31" s="74">
        <f>F29</f>
        <v>0</v>
      </c>
      <c r="K31" s="74">
        <f t="shared" si="4"/>
        <v>0</v>
      </c>
      <c r="L31" s="75" t="s">
        <v>16</v>
      </c>
    </row>
    <row r="32" spans="1:25" ht="15.75" thickBot="1" x14ac:dyDescent="0.3">
      <c r="A32" s="9"/>
      <c r="B32" s="10"/>
      <c r="C32" s="285" t="s">
        <v>33</v>
      </c>
      <c r="D32" s="268"/>
      <c r="E32" s="268"/>
      <c r="F32" s="269"/>
      <c r="G32" s="21"/>
      <c r="H32" s="12" t="s">
        <v>15</v>
      </c>
      <c r="I32" s="14">
        <f t="shared" ref="I32:J34" si="7">SUM(I4,I10,I22,I27)</f>
        <v>7850</v>
      </c>
      <c r="J32" s="14">
        <f t="shared" si="7"/>
        <v>1800</v>
      </c>
      <c r="K32" s="14">
        <f>SUM(I32:J32)</f>
        <v>9650</v>
      </c>
      <c r="L32" s="15" t="s">
        <v>16</v>
      </c>
      <c r="N32" s="343" t="s">
        <v>72</v>
      </c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</row>
    <row r="33" spans="1:25" x14ac:dyDescent="0.2">
      <c r="A33" s="77" t="s">
        <v>17</v>
      </c>
      <c r="B33" s="78" t="s">
        <v>18</v>
      </c>
      <c r="C33" s="79">
        <f t="shared" ref="C33:E34" si="8">SUM(C5,C10,C23,C28)</f>
        <v>13458</v>
      </c>
      <c r="D33" s="23">
        <f t="shared" si="8"/>
        <v>15763</v>
      </c>
      <c r="E33" s="23">
        <f t="shared" si="8"/>
        <v>3779</v>
      </c>
      <c r="F33" s="20">
        <f>SUM(C33:E33)</f>
        <v>33000</v>
      </c>
      <c r="G33" s="21"/>
      <c r="H33" s="22" t="s">
        <v>19</v>
      </c>
      <c r="I33" s="23">
        <f t="shared" si="7"/>
        <v>9300</v>
      </c>
      <c r="J33" s="23">
        <f t="shared" si="7"/>
        <v>2000</v>
      </c>
      <c r="K33" s="23">
        <f t="shared" si="4"/>
        <v>11300</v>
      </c>
      <c r="L33" s="24" t="s">
        <v>16</v>
      </c>
      <c r="N33" s="175">
        <f>N5+N10+N23+N28</f>
        <v>6024</v>
      </c>
      <c r="O33" s="175">
        <f t="shared" ref="O33:Y34" si="9">O5+O10+O23+O28</f>
        <v>8928</v>
      </c>
      <c r="P33" s="175">
        <f t="shared" si="9"/>
        <v>14282</v>
      </c>
      <c r="Q33" s="175">
        <f t="shared" si="9"/>
        <v>16643</v>
      </c>
      <c r="R33" s="175">
        <f t="shared" si="9"/>
        <v>20470</v>
      </c>
      <c r="S33" s="175">
        <f t="shared" si="9"/>
        <v>24938</v>
      </c>
      <c r="T33" s="175">
        <f t="shared" si="9"/>
        <v>29089</v>
      </c>
      <c r="U33" s="175">
        <f t="shared" si="9"/>
        <v>31312</v>
      </c>
      <c r="V33" s="175">
        <f t="shared" si="9"/>
        <v>32119</v>
      </c>
      <c r="W33" s="175">
        <f t="shared" si="9"/>
        <v>34702</v>
      </c>
      <c r="X33" s="175">
        <f t="shared" si="9"/>
        <v>0</v>
      </c>
      <c r="Y33" s="175">
        <f t="shared" si="9"/>
        <v>0</v>
      </c>
    </row>
    <row r="34" spans="1:25" x14ac:dyDescent="0.2">
      <c r="A34" s="77" t="s">
        <v>20</v>
      </c>
      <c r="B34" s="78" t="s">
        <v>18</v>
      </c>
      <c r="C34" s="79">
        <f t="shared" si="8"/>
        <v>2499</v>
      </c>
      <c r="D34" s="23">
        <f t="shared" si="8"/>
        <v>5801</v>
      </c>
      <c r="E34" s="23">
        <f t="shared" si="8"/>
        <v>200</v>
      </c>
      <c r="F34" s="20">
        <f>SUM(C34:E34)</f>
        <v>8500</v>
      </c>
      <c r="G34" s="21"/>
      <c r="H34" s="22" t="s">
        <v>21</v>
      </c>
      <c r="I34" s="23">
        <f t="shared" si="7"/>
        <v>7350</v>
      </c>
      <c r="J34" s="23">
        <f t="shared" si="7"/>
        <v>2750</v>
      </c>
      <c r="K34" s="23">
        <f t="shared" si="4"/>
        <v>10100</v>
      </c>
      <c r="L34" s="24" t="s">
        <v>16</v>
      </c>
      <c r="N34" s="176">
        <f>N6+N11+N24+N29</f>
        <v>810</v>
      </c>
      <c r="O34" s="176">
        <f t="shared" si="9"/>
        <v>1619</v>
      </c>
      <c r="P34" s="176">
        <f t="shared" si="9"/>
        <v>2859</v>
      </c>
      <c r="Q34" s="176">
        <f t="shared" si="9"/>
        <v>3596</v>
      </c>
      <c r="R34" s="176">
        <f t="shared" si="9"/>
        <v>4369</v>
      </c>
      <c r="S34" s="176">
        <f t="shared" si="9"/>
        <v>4698</v>
      </c>
      <c r="T34" s="176">
        <f t="shared" si="9"/>
        <v>5353</v>
      </c>
      <c r="U34" s="176">
        <f t="shared" si="9"/>
        <v>5907</v>
      </c>
      <c r="V34" s="176">
        <f t="shared" si="9"/>
        <v>7294</v>
      </c>
      <c r="W34" s="176">
        <f t="shared" si="9"/>
        <v>8318</v>
      </c>
      <c r="X34" s="176">
        <f t="shared" si="9"/>
        <v>0</v>
      </c>
      <c r="Y34" s="176">
        <f t="shared" si="9"/>
        <v>0</v>
      </c>
    </row>
    <row r="35" spans="1:25" ht="13.5" thickBot="1" x14ac:dyDescent="0.25">
      <c r="A35" s="320" t="s">
        <v>6</v>
      </c>
      <c r="B35" s="321" t="s">
        <v>22</v>
      </c>
      <c r="C35" s="368">
        <f>SUM(C33:C34)</f>
        <v>15957</v>
      </c>
      <c r="D35" s="359">
        <f>SUM(D33:D34)</f>
        <v>21564</v>
      </c>
      <c r="E35" s="359">
        <f>SUM(E33:E34)</f>
        <v>3979</v>
      </c>
      <c r="F35" s="360">
        <f>SUM(C35:E35)</f>
        <v>41500</v>
      </c>
      <c r="G35" s="25"/>
      <c r="H35" s="22" t="s">
        <v>23</v>
      </c>
      <c r="I35" s="23">
        <f>I36-I32-I33-I34</f>
        <v>8500</v>
      </c>
      <c r="J35" s="23">
        <f>J36-J32-J33-J34</f>
        <v>1950</v>
      </c>
      <c r="K35" s="23">
        <f t="shared" si="4"/>
        <v>10450</v>
      </c>
      <c r="L35" s="27" t="s">
        <v>16</v>
      </c>
      <c r="N35" s="177">
        <f>N33+N34</f>
        <v>6834</v>
      </c>
      <c r="O35" s="177">
        <f t="shared" ref="O35:Y35" si="10">O33+O34</f>
        <v>10547</v>
      </c>
      <c r="P35" s="177">
        <f t="shared" si="10"/>
        <v>17141</v>
      </c>
      <c r="Q35" s="177">
        <f t="shared" si="10"/>
        <v>20239</v>
      </c>
      <c r="R35" s="177">
        <f t="shared" si="10"/>
        <v>24839</v>
      </c>
      <c r="S35" s="177">
        <f t="shared" si="10"/>
        <v>29636</v>
      </c>
      <c r="T35" s="177">
        <f t="shared" si="10"/>
        <v>34442</v>
      </c>
      <c r="U35" s="177">
        <f t="shared" si="10"/>
        <v>37219</v>
      </c>
      <c r="V35" s="177">
        <f t="shared" si="10"/>
        <v>39413</v>
      </c>
      <c r="W35" s="177">
        <f t="shared" si="10"/>
        <v>43020</v>
      </c>
      <c r="X35" s="177">
        <f t="shared" si="10"/>
        <v>0</v>
      </c>
      <c r="Y35" s="177">
        <f t="shared" si="10"/>
        <v>0</v>
      </c>
    </row>
    <row r="36" spans="1:25" ht="13.5" thickBot="1" x14ac:dyDescent="0.25">
      <c r="A36" s="366"/>
      <c r="B36" s="367"/>
      <c r="C36" s="369"/>
      <c r="D36" s="370"/>
      <c r="E36" s="370"/>
      <c r="F36" s="371"/>
      <c r="G36" s="25"/>
      <c r="H36" s="73" t="s">
        <v>24</v>
      </c>
      <c r="I36" s="74">
        <f>F33</f>
        <v>33000</v>
      </c>
      <c r="J36" s="74">
        <f>F34</f>
        <v>8500</v>
      </c>
      <c r="K36" s="74">
        <f t="shared" si="4"/>
        <v>41500</v>
      </c>
      <c r="L36" s="75" t="s">
        <v>16</v>
      </c>
    </row>
    <row r="37" spans="1:25" ht="13.5" thickBot="1" x14ac:dyDescent="0.25">
      <c r="A37" s="9"/>
      <c r="B37" s="10"/>
      <c r="C37" s="285" t="s">
        <v>34</v>
      </c>
      <c r="D37" s="268"/>
      <c r="E37" s="268"/>
      <c r="F37" s="269"/>
      <c r="G37" s="21"/>
      <c r="H37" s="12" t="s">
        <v>15</v>
      </c>
      <c r="I37" s="13">
        <v>150</v>
      </c>
      <c r="J37" s="13"/>
      <c r="K37" s="14">
        <f t="shared" si="4"/>
        <v>150</v>
      </c>
      <c r="L37" s="15" t="s">
        <v>16</v>
      </c>
      <c r="N37" s="341" t="s">
        <v>73</v>
      </c>
      <c r="O37" s="341"/>
      <c r="P37" s="341"/>
      <c r="Q37" s="341"/>
      <c r="R37" s="341"/>
      <c r="S37" s="341"/>
      <c r="T37" s="341"/>
      <c r="U37" s="341"/>
      <c r="V37" s="341"/>
      <c r="W37" s="341"/>
      <c r="X37" s="341"/>
      <c r="Y37" s="341"/>
    </row>
    <row r="38" spans="1:25" x14ac:dyDescent="0.2">
      <c r="A38" s="16" t="s">
        <v>17</v>
      </c>
      <c r="B38" s="17" t="s">
        <v>18</v>
      </c>
      <c r="C38" s="18">
        <v>200</v>
      </c>
      <c r="D38" s="19">
        <v>200</v>
      </c>
      <c r="E38" s="19">
        <v>100</v>
      </c>
      <c r="F38" s="20">
        <f>SUM(C38:E38)</f>
        <v>500</v>
      </c>
      <c r="G38" s="21"/>
      <c r="H38" s="22" t="s">
        <v>19</v>
      </c>
      <c r="I38" s="19">
        <v>100</v>
      </c>
      <c r="J38" s="19">
        <v>200</v>
      </c>
      <c r="K38" s="23">
        <f t="shared" si="4"/>
        <v>300</v>
      </c>
      <c r="L38" s="24" t="s">
        <v>16</v>
      </c>
      <c r="N38" s="169">
        <v>8</v>
      </c>
      <c r="O38" s="169">
        <v>29</v>
      </c>
      <c r="P38" s="169">
        <v>63</v>
      </c>
      <c r="Q38" s="169">
        <v>81</v>
      </c>
      <c r="R38" s="169">
        <v>168</v>
      </c>
      <c r="S38" s="169">
        <v>198</v>
      </c>
      <c r="T38" s="169">
        <v>249</v>
      </c>
      <c r="U38" s="169">
        <v>287</v>
      </c>
      <c r="V38" s="169">
        <v>365</v>
      </c>
      <c r="W38" s="169">
        <v>557</v>
      </c>
      <c r="X38" s="169">
        <f>[1]Šaštín!X38+[1]Holíč!X38+'[1]Mor. Ján'!X38+[1]Lozorno!X38+[1]Sološnica!X38</f>
        <v>0</v>
      </c>
      <c r="Y38" s="169">
        <f>[1]Šaštín!Y38+[1]Holíč!Y38+'[1]Mor. Ján'!Y38+[1]Lozorno!Y38+[1]Sološnica!Y38</f>
        <v>0</v>
      </c>
    </row>
    <row r="39" spans="1:25" ht="13.5" thickBot="1" x14ac:dyDescent="0.25">
      <c r="A39" s="16" t="s">
        <v>20</v>
      </c>
      <c r="B39" s="17" t="s">
        <v>18</v>
      </c>
      <c r="C39" s="18">
        <v>200</v>
      </c>
      <c r="D39" s="19">
        <v>200</v>
      </c>
      <c r="E39" s="19">
        <v>100</v>
      </c>
      <c r="F39" s="20">
        <f>SUM(C39:E39)</f>
        <v>500</v>
      </c>
      <c r="G39" s="21"/>
      <c r="H39" s="22" t="s">
        <v>21</v>
      </c>
      <c r="I39" s="19">
        <v>50</v>
      </c>
      <c r="J39" s="19">
        <v>150</v>
      </c>
      <c r="K39" s="23">
        <f t="shared" si="4"/>
        <v>200</v>
      </c>
      <c r="L39" s="24" t="s">
        <v>16</v>
      </c>
      <c r="N39" s="170">
        <v>25</v>
      </c>
      <c r="O39" s="170">
        <v>104</v>
      </c>
      <c r="P39" s="170">
        <v>168</v>
      </c>
      <c r="Q39" s="170">
        <v>224</v>
      </c>
      <c r="R39" s="170">
        <v>258</v>
      </c>
      <c r="S39" s="170">
        <v>282</v>
      </c>
      <c r="T39" s="170">
        <v>297</v>
      </c>
      <c r="U39" s="170">
        <v>309</v>
      </c>
      <c r="V39" s="170">
        <v>331</v>
      </c>
      <c r="W39" s="170">
        <v>403</v>
      </c>
      <c r="X39" s="170">
        <f>[1]Šaštín!X39+[1]Holíč!X39+'[1]Mor. Ján'!X39+[1]Lozorno!X39+[1]Sološnica!X39</f>
        <v>0</v>
      </c>
      <c r="Y39" s="170">
        <f>[1]Šaštín!Y39+[1]Holíč!Y39+'[1]Mor. Ján'!Y39+[1]Lozorno!Y39+[1]Sološnica!Y39</f>
        <v>0</v>
      </c>
    </row>
    <row r="40" spans="1:25" ht="13.5" thickBot="1" x14ac:dyDescent="0.25">
      <c r="A40" s="320" t="s">
        <v>6</v>
      </c>
      <c r="B40" s="321" t="s">
        <v>22</v>
      </c>
      <c r="C40" s="368">
        <f>SUM(C38:C39)</f>
        <v>400</v>
      </c>
      <c r="D40" s="359">
        <f>SUM(D38:D39)</f>
        <v>400</v>
      </c>
      <c r="E40" s="359">
        <f>SUM(E38:E39)</f>
        <v>200</v>
      </c>
      <c r="F40" s="360">
        <f>SUM(C40:E40)</f>
        <v>1000</v>
      </c>
      <c r="G40" s="25"/>
      <c r="H40" s="22" t="s">
        <v>23</v>
      </c>
      <c r="I40" s="23">
        <f>I41-I37-I38-I39</f>
        <v>200</v>
      </c>
      <c r="J40" s="23">
        <f>J41-J37-J38-J39</f>
        <v>150</v>
      </c>
      <c r="K40" s="23">
        <f t="shared" si="4"/>
        <v>350</v>
      </c>
      <c r="L40" s="27" t="s">
        <v>16</v>
      </c>
      <c r="N40" s="171">
        <f>N38+N39</f>
        <v>33</v>
      </c>
      <c r="O40" s="172">
        <f>O38+O39</f>
        <v>133</v>
      </c>
      <c r="P40" s="173">
        <f>SUM(P38:P39)</f>
        <v>231</v>
      </c>
      <c r="Q40" s="173">
        <f t="shared" ref="Q40:Y40" si="11">SUM(Q38:Q39)</f>
        <v>305</v>
      </c>
      <c r="R40" s="173">
        <f t="shared" si="11"/>
        <v>426</v>
      </c>
      <c r="S40" s="173">
        <f t="shared" si="11"/>
        <v>480</v>
      </c>
      <c r="T40" s="173">
        <f t="shared" si="11"/>
        <v>546</v>
      </c>
      <c r="U40" s="173">
        <f t="shared" si="11"/>
        <v>596</v>
      </c>
      <c r="V40" s="173">
        <f t="shared" si="11"/>
        <v>696</v>
      </c>
      <c r="W40" s="173">
        <f t="shared" si="11"/>
        <v>960</v>
      </c>
      <c r="X40" s="173">
        <f t="shared" si="11"/>
        <v>0</v>
      </c>
      <c r="Y40" s="174">
        <f t="shared" si="11"/>
        <v>0</v>
      </c>
    </row>
    <row r="41" spans="1:25" ht="13.5" thickBot="1" x14ac:dyDescent="0.25">
      <c r="A41" s="366"/>
      <c r="B41" s="367"/>
      <c r="C41" s="369"/>
      <c r="D41" s="370"/>
      <c r="E41" s="370"/>
      <c r="F41" s="371"/>
      <c r="G41" s="25"/>
      <c r="H41" s="73" t="s">
        <v>24</v>
      </c>
      <c r="I41" s="74">
        <f>F38</f>
        <v>500</v>
      </c>
      <c r="J41" s="74">
        <f>F39</f>
        <v>500</v>
      </c>
      <c r="K41" s="74">
        <f t="shared" si="4"/>
        <v>1000</v>
      </c>
      <c r="L41" s="75" t="s">
        <v>16</v>
      </c>
    </row>
    <row r="42" spans="1:25" ht="13.5" thickBot="1" x14ac:dyDescent="0.25">
      <c r="A42" s="9"/>
      <c r="B42" s="10"/>
      <c r="C42" s="285" t="s">
        <v>35</v>
      </c>
      <c r="D42" s="268"/>
      <c r="E42" s="268"/>
      <c r="F42" s="269"/>
      <c r="G42" s="21"/>
      <c r="H42" s="80"/>
      <c r="I42" s="81"/>
      <c r="J42" s="81"/>
      <c r="K42" s="82"/>
      <c r="L42" s="82"/>
    </row>
    <row r="43" spans="1:25" ht="18" thickBot="1" x14ac:dyDescent="0.3">
      <c r="A43" s="16" t="s">
        <v>17</v>
      </c>
      <c r="B43" s="17" t="s">
        <v>18</v>
      </c>
      <c r="C43" s="18">
        <v>0</v>
      </c>
      <c r="D43" s="19">
        <v>0</v>
      </c>
      <c r="E43" s="19">
        <v>0</v>
      </c>
      <c r="F43" s="20">
        <f t="shared" ref="F43:F48" si="12">SUM(C43:E43)</f>
        <v>0</v>
      </c>
      <c r="G43" s="21"/>
      <c r="H43" s="285" t="s">
        <v>36</v>
      </c>
      <c r="I43" s="268"/>
      <c r="J43" s="268"/>
      <c r="K43" s="268"/>
      <c r="L43" s="269"/>
      <c r="N43" s="343" t="s">
        <v>74</v>
      </c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</row>
    <row r="44" spans="1:25" x14ac:dyDescent="0.2">
      <c r="A44" s="16" t="s">
        <v>20</v>
      </c>
      <c r="B44" s="17" t="s">
        <v>18</v>
      </c>
      <c r="C44" s="18">
        <v>0</v>
      </c>
      <c r="D44" s="19">
        <v>0</v>
      </c>
      <c r="E44" s="19">
        <v>0</v>
      </c>
      <c r="F44" s="20">
        <f t="shared" si="12"/>
        <v>0</v>
      </c>
      <c r="G44" s="21"/>
      <c r="H44" s="22" t="s">
        <v>15</v>
      </c>
      <c r="I44" s="23">
        <f>I32-I37</f>
        <v>7700</v>
      </c>
      <c r="J44" s="23">
        <f t="shared" ref="I44:J46" si="13">J32-J37</f>
        <v>1800</v>
      </c>
      <c r="K44" s="23">
        <f>SUM(I44:J44)</f>
        <v>9500</v>
      </c>
      <c r="L44" s="83" t="s">
        <v>16</v>
      </c>
      <c r="N44" s="175">
        <f>N33-N38</f>
        <v>6016</v>
      </c>
      <c r="O44" s="175">
        <f t="shared" ref="O44:Y44" si="14">O33-O38</f>
        <v>8899</v>
      </c>
      <c r="P44" s="175">
        <f t="shared" si="14"/>
        <v>14219</v>
      </c>
      <c r="Q44" s="175">
        <f t="shared" si="14"/>
        <v>16562</v>
      </c>
      <c r="R44" s="175">
        <f t="shared" si="14"/>
        <v>20302</v>
      </c>
      <c r="S44" s="175">
        <f t="shared" si="14"/>
        <v>24740</v>
      </c>
      <c r="T44" s="175">
        <f t="shared" si="14"/>
        <v>28840</v>
      </c>
      <c r="U44" s="175">
        <f t="shared" si="14"/>
        <v>31025</v>
      </c>
      <c r="V44" s="175">
        <f t="shared" si="14"/>
        <v>31754</v>
      </c>
      <c r="W44" s="175">
        <f t="shared" si="14"/>
        <v>34145</v>
      </c>
      <c r="X44" s="175">
        <f t="shared" si="14"/>
        <v>0</v>
      </c>
      <c r="Y44" s="175">
        <f t="shared" si="14"/>
        <v>0</v>
      </c>
    </row>
    <row r="45" spans="1:25" ht="13.5" thickBot="1" x14ac:dyDescent="0.25">
      <c r="A45" s="84" t="s">
        <v>6</v>
      </c>
      <c r="B45" s="85" t="s">
        <v>22</v>
      </c>
      <c r="C45" s="86">
        <f>SUM(C43:C44)</f>
        <v>0</v>
      </c>
      <c r="D45" s="74">
        <f>SUM(D43:D44)</f>
        <v>0</v>
      </c>
      <c r="E45" s="74">
        <f>SUM(E43:E44)</f>
        <v>0</v>
      </c>
      <c r="F45" s="69">
        <f t="shared" si="12"/>
        <v>0</v>
      </c>
      <c r="G45" s="21"/>
      <c r="H45" s="22" t="s">
        <v>19</v>
      </c>
      <c r="I45" s="23">
        <f t="shared" si="13"/>
        <v>9200</v>
      </c>
      <c r="J45" s="23">
        <f t="shared" si="13"/>
        <v>1800</v>
      </c>
      <c r="K45" s="23">
        <f>SUM(I45:J45)</f>
        <v>11000</v>
      </c>
      <c r="L45" s="27" t="s">
        <v>16</v>
      </c>
      <c r="N45" s="176">
        <f>N34-N39</f>
        <v>785</v>
      </c>
      <c r="O45" s="176">
        <f t="shared" ref="O45:Y45" si="15">O34-O39</f>
        <v>1515</v>
      </c>
      <c r="P45" s="176">
        <f t="shared" si="15"/>
        <v>2691</v>
      </c>
      <c r="Q45" s="176">
        <f t="shared" si="15"/>
        <v>3372</v>
      </c>
      <c r="R45" s="176">
        <f t="shared" si="15"/>
        <v>4111</v>
      </c>
      <c r="S45" s="176">
        <f t="shared" si="15"/>
        <v>4416</v>
      </c>
      <c r="T45" s="176">
        <f t="shared" si="15"/>
        <v>5056</v>
      </c>
      <c r="U45" s="176">
        <f t="shared" si="15"/>
        <v>5598</v>
      </c>
      <c r="V45" s="176">
        <f t="shared" si="15"/>
        <v>6963</v>
      </c>
      <c r="W45" s="176">
        <f t="shared" si="15"/>
        <v>7915</v>
      </c>
      <c r="X45" s="176">
        <f t="shared" si="15"/>
        <v>0</v>
      </c>
      <c r="Y45" s="176">
        <f t="shared" si="15"/>
        <v>0</v>
      </c>
    </row>
    <row r="46" spans="1:25" ht="13.5" thickBot="1" x14ac:dyDescent="0.25">
      <c r="A46" s="87" t="s">
        <v>37</v>
      </c>
      <c r="B46" s="88" t="s">
        <v>13</v>
      </c>
      <c r="C46" s="89">
        <v>36.799999999999997</v>
      </c>
      <c r="D46" s="13">
        <v>77.97</v>
      </c>
      <c r="E46" s="13">
        <v>0.28999999999999998</v>
      </c>
      <c r="F46" s="90">
        <f t="shared" si="12"/>
        <v>115.06</v>
      </c>
      <c r="G46" s="21"/>
      <c r="H46" s="22" t="s">
        <v>21</v>
      </c>
      <c r="I46" s="23">
        <f t="shared" si="13"/>
        <v>7300</v>
      </c>
      <c r="J46" s="23">
        <f>J34-J39</f>
        <v>2600</v>
      </c>
      <c r="K46" s="23">
        <f>SUM(I46:J46)</f>
        <v>9900</v>
      </c>
      <c r="L46" s="27" t="s">
        <v>16</v>
      </c>
      <c r="N46" s="177">
        <f>N44+N45</f>
        <v>6801</v>
      </c>
      <c r="O46" s="177">
        <f t="shared" ref="O46:Y46" si="16">O44+O45</f>
        <v>10414</v>
      </c>
      <c r="P46" s="177">
        <f t="shared" si="16"/>
        <v>16910</v>
      </c>
      <c r="Q46" s="177">
        <f t="shared" si="16"/>
        <v>19934</v>
      </c>
      <c r="R46" s="177">
        <f t="shared" si="16"/>
        <v>24413</v>
      </c>
      <c r="S46" s="177">
        <f t="shared" si="16"/>
        <v>29156</v>
      </c>
      <c r="T46" s="177">
        <f t="shared" si="16"/>
        <v>33896</v>
      </c>
      <c r="U46" s="177">
        <f t="shared" si="16"/>
        <v>36623</v>
      </c>
      <c r="V46" s="177">
        <f t="shared" si="16"/>
        <v>38717</v>
      </c>
      <c r="W46" s="177">
        <f t="shared" si="16"/>
        <v>42060</v>
      </c>
      <c r="X46" s="177">
        <f t="shared" si="16"/>
        <v>0</v>
      </c>
      <c r="Y46" s="177">
        <f t="shared" si="16"/>
        <v>0</v>
      </c>
    </row>
    <row r="47" spans="1:25" x14ac:dyDescent="0.2">
      <c r="A47" s="91" t="s">
        <v>38</v>
      </c>
      <c r="B47" s="92" t="s">
        <v>13</v>
      </c>
      <c r="C47" s="18">
        <v>0.54</v>
      </c>
      <c r="D47" s="19">
        <v>0.54</v>
      </c>
      <c r="E47" s="19"/>
      <c r="F47" s="20">
        <f t="shared" si="12"/>
        <v>1.08</v>
      </c>
      <c r="G47" s="21"/>
      <c r="H47" s="22" t="s">
        <v>23</v>
      </c>
      <c r="I47" s="23">
        <f>I48-I44-I45-I46</f>
        <v>8300</v>
      </c>
      <c r="J47" s="23">
        <f>J48-J44-J45-J46</f>
        <v>1800</v>
      </c>
      <c r="K47" s="23">
        <f>SUM(I47:J47)</f>
        <v>10100</v>
      </c>
      <c r="L47" s="27" t="s">
        <v>16</v>
      </c>
    </row>
    <row r="48" spans="1:25" ht="13.5" thickBot="1" x14ac:dyDescent="0.25">
      <c r="A48" s="93" t="s">
        <v>39</v>
      </c>
      <c r="B48" s="94" t="s">
        <v>13</v>
      </c>
      <c r="C48" s="67">
        <v>58.9</v>
      </c>
      <c r="D48" s="68">
        <v>89.65</v>
      </c>
      <c r="E48" s="68">
        <v>7.14</v>
      </c>
      <c r="F48" s="69">
        <f t="shared" si="12"/>
        <v>155.69</v>
      </c>
      <c r="G48" s="21"/>
      <c r="H48" s="73" t="s">
        <v>24</v>
      </c>
      <c r="I48" s="74">
        <f>I36-I41</f>
        <v>32500</v>
      </c>
      <c r="J48" s="74">
        <f>J36-J41</f>
        <v>8000</v>
      </c>
      <c r="K48" s="74">
        <f>SUM(I48:J48)</f>
        <v>40500</v>
      </c>
      <c r="L48" s="75" t="s">
        <v>16</v>
      </c>
    </row>
    <row r="49" spans="1:25" ht="15.75" thickBot="1" x14ac:dyDescent="0.3">
      <c r="A49" s="362" t="s">
        <v>100</v>
      </c>
      <c r="B49" s="362"/>
      <c r="C49" s="362"/>
      <c r="D49" s="362"/>
      <c r="E49" s="362"/>
      <c r="F49" s="362"/>
      <c r="G49" s="81"/>
      <c r="H49" s="80"/>
      <c r="I49" s="81"/>
      <c r="J49" s="81"/>
      <c r="K49" s="82"/>
      <c r="L49" s="82"/>
      <c r="N49" s="342" t="s">
        <v>75</v>
      </c>
      <c r="O49" s="342"/>
      <c r="P49" s="342"/>
      <c r="Q49" s="342"/>
      <c r="R49" s="342"/>
      <c r="S49" s="342"/>
      <c r="T49" s="342"/>
      <c r="U49" s="342"/>
      <c r="V49" s="342"/>
      <c r="W49" s="342"/>
      <c r="X49" s="342"/>
      <c r="Y49" s="342"/>
    </row>
    <row r="50" spans="1:25" x14ac:dyDescent="0.2">
      <c r="A50" s="9"/>
      <c r="B50" s="10"/>
      <c r="C50" s="285" t="s">
        <v>14</v>
      </c>
      <c r="D50" s="268"/>
      <c r="E50" s="268"/>
      <c r="F50" s="269"/>
      <c r="G50" s="95"/>
      <c r="H50" s="96" t="s">
        <v>40</v>
      </c>
      <c r="I50" s="267" t="s">
        <v>41</v>
      </c>
      <c r="J50" s="363"/>
      <c r="K50" s="364" t="s">
        <v>42</v>
      </c>
      <c r="L50" s="365"/>
      <c r="N50" s="232">
        <f>N44/((I44)*1/3)</f>
        <v>2.3438961038961041</v>
      </c>
      <c r="O50" s="232">
        <f>O44/((I44)*2/3)</f>
        <v>1.7335714285714288</v>
      </c>
      <c r="P50" s="232">
        <f>P44/((I44)*3/3)</f>
        <v>1.8466233766233766</v>
      </c>
      <c r="Q50" s="232">
        <f>Q44/((I44+I45)*4/6)</f>
        <v>1.47</v>
      </c>
      <c r="R50" s="232">
        <f>R44/((I44+I45)*5/6)</f>
        <v>1.4415621301775148</v>
      </c>
      <c r="S50" s="232">
        <f>S44/((I44+I45)*6/6)</f>
        <v>1.463905325443787</v>
      </c>
      <c r="T50" s="232">
        <f>T44/(I44+I45+(I46*1/3))</f>
        <v>1.4917241379310346</v>
      </c>
      <c r="U50" s="232">
        <f>U44/(I44+I45+(I46*2/3))</f>
        <v>1.425344563552833</v>
      </c>
      <c r="V50" s="232">
        <f>V44/(I44+I45+(I46*3/3))</f>
        <v>1.3121487603305786</v>
      </c>
      <c r="W50" s="232">
        <f>W44/(I44+I45+I46+(I47*1/3))</f>
        <v>1.2661928306551298</v>
      </c>
      <c r="X50" s="175"/>
      <c r="Y50" s="175"/>
    </row>
    <row r="51" spans="1:25" ht="14.25" x14ac:dyDescent="0.2">
      <c r="A51" s="16" t="s">
        <v>17</v>
      </c>
      <c r="B51" s="92" t="s">
        <v>43</v>
      </c>
      <c r="C51" s="18">
        <v>13334</v>
      </c>
      <c r="D51" s="19">
        <v>8836</v>
      </c>
      <c r="E51" s="19">
        <v>4040</v>
      </c>
      <c r="F51" s="51">
        <f>SUM(C51:E51)</f>
        <v>26210</v>
      </c>
      <c r="G51" s="95"/>
      <c r="H51" s="22" t="s">
        <v>15</v>
      </c>
      <c r="I51" s="353">
        <v>33.869999999999997</v>
      </c>
      <c r="J51" s="356"/>
      <c r="K51" s="353">
        <v>0.18</v>
      </c>
      <c r="L51" s="355"/>
      <c r="N51" s="233">
        <f>N45/((J44)*1/3)</f>
        <v>1.3083333333333333</v>
      </c>
      <c r="O51" s="233">
        <f>O45/((J44)*2/3)</f>
        <v>1.2625</v>
      </c>
      <c r="P51" s="233">
        <f>P45/((J44)*3/3)</f>
        <v>1.4950000000000001</v>
      </c>
      <c r="Q51" s="233">
        <f>Q45/((J44+J45)*4/6)</f>
        <v>1.405</v>
      </c>
      <c r="R51" s="233">
        <f>R45/((J44+J45)*5/6)</f>
        <v>1.3703333333333334</v>
      </c>
      <c r="S51" s="233">
        <f>S45/((J44+J45)*6/6)</f>
        <v>1.2266666666666666</v>
      </c>
      <c r="T51" s="233">
        <f>T45/(J44+J45+(J46*1/3))</f>
        <v>1.1319402985074627</v>
      </c>
      <c r="U51" s="233">
        <f>U45/(J44+J45+(J46*2/3))</f>
        <v>1.049625</v>
      </c>
      <c r="V51" s="233">
        <f>V45/(J44+J45+(J46*3/3))</f>
        <v>1.1230645161290322</v>
      </c>
      <c r="W51" s="233">
        <f>W45/(J44+J45+J46+(J47*1/3))</f>
        <v>1.1639705882352942</v>
      </c>
      <c r="X51" s="176"/>
      <c r="Y51" s="176"/>
    </row>
    <row r="52" spans="1:25" ht="15" thickBot="1" x14ac:dyDescent="0.25">
      <c r="A52" s="16" t="s">
        <v>20</v>
      </c>
      <c r="B52" s="92" t="s">
        <v>43</v>
      </c>
      <c r="C52" s="18">
        <v>3887</v>
      </c>
      <c r="D52" s="19">
        <v>2927</v>
      </c>
      <c r="E52" s="19">
        <v>1048</v>
      </c>
      <c r="F52" s="51">
        <f>SUM(C52:E52)</f>
        <v>7862</v>
      </c>
      <c r="G52" s="95"/>
      <c r="H52" s="22" t="s">
        <v>19</v>
      </c>
      <c r="I52" s="353">
        <v>61.56</v>
      </c>
      <c r="J52" s="356"/>
      <c r="K52" s="353">
        <v>0.36</v>
      </c>
      <c r="L52" s="355"/>
      <c r="N52" s="231">
        <f>N46/((K44)*1/3)</f>
        <v>2.1476842105263159</v>
      </c>
      <c r="O52" s="231">
        <f>O46/((K44)*2/3)</f>
        <v>1.6443157894736844</v>
      </c>
      <c r="P52" s="231">
        <f>P46/((K44)*3/3)</f>
        <v>1.78</v>
      </c>
      <c r="Q52" s="231">
        <f>Q46/((K44+K45)*4/6)</f>
        <v>1.4585853658536585</v>
      </c>
      <c r="R52" s="231">
        <f>R46/((K44+K45)*5/6)</f>
        <v>1.4290536585365854</v>
      </c>
      <c r="S52" s="231">
        <f>S46/((K44+K45)*6/6)</f>
        <v>1.4222439024390243</v>
      </c>
      <c r="T52" s="231">
        <f>T46/(K44+K45+(K46*1/3))</f>
        <v>1.4242016806722688</v>
      </c>
      <c r="U52" s="231">
        <f>U46/(K44+K45+(K46*2/3))</f>
        <v>1.3514022140221402</v>
      </c>
      <c r="V52" s="231">
        <f>V46/(K44+K45+(K46*3/3))</f>
        <v>1.2735855263157896</v>
      </c>
      <c r="W52" s="231">
        <f>W46/(K44+K45+K46+(K47*1/3))</f>
        <v>1.2456071076011848</v>
      </c>
      <c r="X52" s="177"/>
      <c r="Y52" s="177"/>
    </row>
    <row r="53" spans="1:25" ht="15" thickBot="1" x14ac:dyDescent="0.25">
      <c r="A53" s="97" t="s">
        <v>6</v>
      </c>
      <c r="B53" s="98" t="s">
        <v>43</v>
      </c>
      <c r="C53" s="99">
        <f>SUM(C51:C52)</f>
        <v>17221</v>
      </c>
      <c r="D53" s="100">
        <f>SUM(D51:D52)</f>
        <v>11763</v>
      </c>
      <c r="E53" s="100">
        <f>SUM(E51:E52)</f>
        <v>5088</v>
      </c>
      <c r="F53" s="101">
        <f>SUM(C53:E53)</f>
        <v>34072</v>
      </c>
      <c r="G53" s="102"/>
      <c r="H53" s="22" t="s">
        <v>21</v>
      </c>
      <c r="I53" s="353">
        <v>0.42</v>
      </c>
      <c r="J53" s="356"/>
      <c r="K53" s="353">
        <v>0.42</v>
      </c>
      <c r="L53" s="355"/>
    </row>
    <row r="54" spans="1:25" x14ac:dyDescent="0.2">
      <c r="A54" s="9"/>
      <c r="B54" s="10"/>
      <c r="C54" s="268" t="s">
        <v>25</v>
      </c>
      <c r="D54" s="268"/>
      <c r="E54" s="268"/>
      <c r="F54" s="269"/>
      <c r="G54" s="95"/>
      <c r="H54" s="22" t="s">
        <v>23</v>
      </c>
      <c r="I54" s="346">
        <f>I55-I51-I52-I53</f>
        <v>19.209999999999994</v>
      </c>
      <c r="J54" s="357"/>
      <c r="K54" s="346">
        <f>K55-K51-K52-K53</f>
        <v>0.12000000000000016</v>
      </c>
      <c r="L54" s="348"/>
    </row>
    <row r="55" spans="1:25" ht="15.75" thickBot="1" x14ac:dyDescent="0.3">
      <c r="A55" s="16" t="s">
        <v>17</v>
      </c>
      <c r="B55" s="92" t="s">
        <v>43</v>
      </c>
      <c r="C55" s="18">
        <v>3927</v>
      </c>
      <c r="D55" s="19">
        <v>1824</v>
      </c>
      <c r="E55" s="19">
        <v>691</v>
      </c>
      <c r="F55" s="51">
        <f>SUM(C55:E55)</f>
        <v>6442</v>
      </c>
      <c r="G55" s="95"/>
      <c r="H55" s="73" t="s">
        <v>24</v>
      </c>
      <c r="I55" s="349">
        <f>F46</f>
        <v>115.06</v>
      </c>
      <c r="J55" s="284"/>
      <c r="K55" s="349">
        <f>F47</f>
        <v>1.08</v>
      </c>
      <c r="L55" s="351"/>
      <c r="N55" s="342" t="s">
        <v>76</v>
      </c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</row>
    <row r="56" spans="1:25" ht="15" thickBot="1" x14ac:dyDescent="0.25">
      <c r="A56" s="16" t="s">
        <v>20</v>
      </c>
      <c r="B56" s="92" t="s">
        <v>43</v>
      </c>
      <c r="C56" s="36">
        <v>747</v>
      </c>
      <c r="D56" s="37">
        <v>116</v>
      </c>
      <c r="E56" s="37">
        <v>481</v>
      </c>
      <c r="F56" s="51">
        <f>SUM(C56:E56)</f>
        <v>1344</v>
      </c>
      <c r="G56" s="95"/>
      <c r="H56" s="103"/>
      <c r="I56" s="95"/>
      <c r="J56" s="95"/>
      <c r="K56" s="82"/>
      <c r="L56" s="82"/>
      <c r="N56" s="232">
        <f>N44/I48</f>
        <v>0.18510769230769231</v>
      </c>
      <c r="O56" s="232">
        <f>O44/I48</f>
        <v>0.27381538461538463</v>
      </c>
      <c r="P56" s="232">
        <f>P44/I48</f>
        <v>0.43750769230769232</v>
      </c>
      <c r="Q56" s="232">
        <f>Q44/I48</f>
        <v>0.50960000000000005</v>
      </c>
      <c r="R56" s="232">
        <f>R44/I48</f>
        <v>0.62467692307692313</v>
      </c>
      <c r="S56" s="232">
        <f>S44/I48</f>
        <v>0.76123076923076927</v>
      </c>
      <c r="T56" s="232">
        <f>T44/I48</f>
        <v>0.88738461538461544</v>
      </c>
      <c r="U56" s="232">
        <f>U44/I48</f>
        <v>0.95461538461538464</v>
      </c>
      <c r="V56" s="232">
        <f>V44/I48</f>
        <v>0.9770461538461539</v>
      </c>
      <c r="W56" s="232">
        <f>W44/I48</f>
        <v>1.0506153846153845</v>
      </c>
      <c r="X56" s="175"/>
      <c r="Y56" s="175"/>
    </row>
    <row r="57" spans="1:25" ht="14.25" x14ac:dyDescent="0.2">
      <c r="A57" s="77" t="s">
        <v>6</v>
      </c>
      <c r="B57" s="27" t="s">
        <v>43</v>
      </c>
      <c r="C57" s="79">
        <f>SUM(C55:C56)</f>
        <v>4674</v>
      </c>
      <c r="D57" s="79">
        <f>SUM(D55:D56)</f>
        <v>1940</v>
      </c>
      <c r="E57" s="79">
        <f>SUM(E55:E56)</f>
        <v>1172</v>
      </c>
      <c r="F57" s="104">
        <f>SUM(C57:E57)</f>
        <v>7786</v>
      </c>
      <c r="G57" s="102"/>
      <c r="H57" s="96" t="s">
        <v>40</v>
      </c>
      <c r="I57" s="267" t="s">
        <v>39</v>
      </c>
      <c r="J57" s="268"/>
      <c r="K57" s="268"/>
      <c r="L57" s="269"/>
      <c r="N57" s="233">
        <f>N45/J48</f>
        <v>9.8125000000000004E-2</v>
      </c>
      <c r="O57" s="233">
        <f>O45/J48</f>
        <v>0.18937499999999999</v>
      </c>
      <c r="P57" s="233">
        <f>P45/J48</f>
        <v>0.33637499999999998</v>
      </c>
      <c r="Q57" s="233">
        <f>Q45/J48</f>
        <v>0.42149999999999999</v>
      </c>
      <c r="R57" s="233">
        <f>R45/J48</f>
        <v>0.51387499999999997</v>
      </c>
      <c r="S57" s="233">
        <f>S45/J48</f>
        <v>0.55200000000000005</v>
      </c>
      <c r="T57" s="233">
        <f>T45/J48</f>
        <v>0.63200000000000001</v>
      </c>
      <c r="U57" s="233">
        <f>U45/J48</f>
        <v>0.69974999999999998</v>
      </c>
      <c r="V57" s="233">
        <f>V45/J48</f>
        <v>0.87037500000000001</v>
      </c>
      <c r="W57" s="233">
        <f>W45/J48</f>
        <v>0.989375</v>
      </c>
      <c r="X57" s="176"/>
      <c r="Y57" s="176"/>
    </row>
    <row r="58" spans="1:25" ht="13.5" thickBot="1" x14ac:dyDescent="0.25">
      <c r="A58" s="47" t="s">
        <v>26</v>
      </c>
      <c r="B58" s="48" t="s">
        <v>13</v>
      </c>
      <c r="C58" s="18">
        <v>187.35</v>
      </c>
      <c r="D58" s="19">
        <v>77.819999999999993</v>
      </c>
      <c r="E58" s="19">
        <v>46.83</v>
      </c>
      <c r="F58" s="162">
        <f>SUM(C58:E58)</f>
        <v>311.99999999999994</v>
      </c>
      <c r="G58" s="108"/>
      <c r="H58" s="22" t="s">
        <v>15</v>
      </c>
      <c r="I58" s="353">
        <v>30.89</v>
      </c>
      <c r="J58" s="354"/>
      <c r="K58" s="354"/>
      <c r="L58" s="355"/>
      <c r="N58" s="231">
        <f>N46/K48</f>
        <v>0.16792592592592592</v>
      </c>
      <c r="O58" s="231">
        <f>O46/K48</f>
        <v>0.25713580246913581</v>
      </c>
      <c r="P58" s="231">
        <f>P46/K48</f>
        <v>0.41753086419753088</v>
      </c>
      <c r="Q58" s="231">
        <f>Q46/K48</f>
        <v>0.49219753086419754</v>
      </c>
      <c r="R58" s="231">
        <f>R46/K48</f>
        <v>0.60279012345679017</v>
      </c>
      <c r="S58" s="231">
        <f>S46/K48</f>
        <v>0.71990123456790123</v>
      </c>
      <c r="T58" s="231">
        <f>T46/K48</f>
        <v>0.83693827160493828</v>
      </c>
      <c r="U58" s="231">
        <f>U46/K48</f>
        <v>0.90427160493827163</v>
      </c>
      <c r="V58" s="231">
        <f>V46/K48</f>
        <v>0.95597530864197533</v>
      </c>
      <c r="W58" s="231">
        <f>W46/K48</f>
        <v>1.0385185185185186</v>
      </c>
      <c r="X58" s="177"/>
      <c r="Y58" s="177"/>
    </row>
    <row r="59" spans="1:25" ht="13.5" thickBot="1" x14ac:dyDescent="0.25">
      <c r="A59" s="109" t="s">
        <v>27</v>
      </c>
      <c r="B59" s="110" t="s">
        <v>28</v>
      </c>
      <c r="C59" s="111">
        <f>IF(C58=0,0,ROUND((C57/C58),2))</f>
        <v>24.95</v>
      </c>
      <c r="D59" s="112">
        <f>IF(D58=0,0,ROUND((D57/D58),2))</f>
        <v>24.93</v>
      </c>
      <c r="E59" s="112">
        <f>IF(E58=0,0,ROUND((E57/E58),2))</f>
        <v>25.03</v>
      </c>
      <c r="F59" s="113">
        <f>IF(F58=0,0,ROUND((F57/F58),2))</f>
        <v>24.96</v>
      </c>
      <c r="G59" s="114"/>
      <c r="H59" s="22" t="s">
        <v>19</v>
      </c>
      <c r="I59" s="353">
        <v>40.01</v>
      </c>
      <c r="J59" s="354"/>
      <c r="K59" s="354"/>
      <c r="L59" s="355"/>
    </row>
    <row r="60" spans="1:25" x14ac:dyDescent="0.2">
      <c r="A60" s="9"/>
      <c r="B60" s="10"/>
      <c r="C60" s="268" t="s">
        <v>29</v>
      </c>
      <c r="D60" s="268"/>
      <c r="E60" s="268"/>
      <c r="F60" s="269"/>
      <c r="G60" s="95"/>
      <c r="H60" s="22" t="s">
        <v>21</v>
      </c>
      <c r="I60" s="353">
        <v>55.29</v>
      </c>
      <c r="J60" s="354"/>
      <c r="K60" s="354"/>
      <c r="L60" s="355"/>
    </row>
    <row r="61" spans="1:25" ht="15.75" thickBot="1" x14ac:dyDescent="0.25">
      <c r="A61" s="16" t="s">
        <v>44</v>
      </c>
      <c r="B61" s="92" t="s">
        <v>43</v>
      </c>
      <c r="C61" s="18">
        <v>2692</v>
      </c>
      <c r="D61" s="19">
        <v>1912</v>
      </c>
      <c r="E61" s="19">
        <v>799</v>
      </c>
      <c r="F61" s="51">
        <f>SUM(C61:E61)</f>
        <v>5403</v>
      </c>
      <c r="G61" s="95"/>
      <c r="H61" s="22" t="s">
        <v>23</v>
      </c>
      <c r="I61" s="346">
        <f>I62-I58-I59-I60</f>
        <v>29.499999999999993</v>
      </c>
      <c r="J61" s="347"/>
      <c r="K61" s="347"/>
      <c r="L61" s="348"/>
      <c r="N61" s="270" t="s">
        <v>96</v>
      </c>
      <c r="O61" s="270"/>
      <c r="P61" s="270"/>
      <c r="Q61" s="270"/>
      <c r="R61" s="270"/>
      <c r="S61" s="270"/>
      <c r="T61" s="270"/>
      <c r="U61" s="270"/>
      <c r="V61" s="270"/>
      <c r="W61" s="270"/>
      <c r="X61" s="270"/>
      <c r="Y61" s="270"/>
    </row>
    <row r="62" spans="1:25" ht="15" thickBot="1" x14ac:dyDescent="0.25">
      <c r="A62" s="16" t="s">
        <v>45</v>
      </c>
      <c r="B62" s="92" t="s">
        <v>43</v>
      </c>
      <c r="C62" s="36">
        <v>384</v>
      </c>
      <c r="D62" s="37">
        <v>267</v>
      </c>
      <c r="E62" s="37">
        <v>115</v>
      </c>
      <c r="F62" s="51">
        <f>SUM(C62:E62)</f>
        <v>766</v>
      </c>
      <c r="G62" s="95"/>
      <c r="H62" s="73" t="s">
        <v>24</v>
      </c>
      <c r="I62" s="349">
        <f>F48</f>
        <v>155.69</v>
      </c>
      <c r="J62" s="350"/>
      <c r="K62" s="350"/>
      <c r="L62" s="351"/>
      <c r="M62" s="210" t="s">
        <v>94</v>
      </c>
      <c r="N62" s="175"/>
      <c r="O62" s="175"/>
      <c r="P62" s="175">
        <v>37.65</v>
      </c>
      <c r="Q62" s="175">
        <v>93.83</v>
      </c>
      <c r="R62" s="175">
        <v>96.27</v>
      </c>
      <c r="S62" s="175">
        <v>96.27</v>
      </c>
      <c r="T62" s="175">
        <v>96.27</v>
      </c>
      <c r="U62" s="175">
        <v>96.27</v>
      </c>
      <c r="V62" s="175">
        <v>96.27</v>
      </c>
      <c r="W62" s="175">
        <v>96.27</v>
      </c>
      <c r="X62" s="175">
        <f t="shared" ref="W62:Y62" si="17">X47-X56</f>
        <v>0</v>
      </c>
      <c r="Y62" s="227">
        <f t="shared" si="17"/>
        <v>0</v>
      </c>
    </row>
    <row r="63" spans="1:25" ht="15" thickBot="1" x14ac:dyDescent="0.25">
      <c r="A63" s="42" t="s">
        <v>6</v>
      </c>
      <c r="B63" s="115" t="s">
        <v>46</v>
      </c>
      <c r="C63" s="60">
        <f>SUM(C61:C62)</f>
        <v>3076</v>
      </c>
      <c r="D63" s="60">
        <f>SUM(D61:D62)</f>
        <v>2179</v>
      </c>
      <c r="E63" s="60">
        <f>SUM(E61:E62)</f>
        <v>914</v>
      </c>
      <c r="F63" s="104">
        <f>SUM(C63:E63)</f>
        <v>6169</v>
      </c>
      <c r="G63" s="102"/>
      <c r="H63" s="103"/>
      <c r="I63" s="95"/>
      <c r="J63" s="95"/>
      <c r="K63" s="82"/>
      <c r="L63" s="82"/>
      <c r="M63" s="225" t="s">
        <v>95</v>
      </c>
      <c r="N63" s="175">
        <f>N62-(I51*1/3)</f>
        <v>-11.29</v>
      </c>
      <c r="O63" s="175">
        <f>O62-((I51)*2/3)</f>
        <v>-22.58</v>
      </c>
      <c r="P63" s="175">
        <f>P62-((I51)*3/3)</f>
        <v>3.7800000000000011</v>
      </c>
      <c r="Q63" s="175">
        <f>Q62-((I51+I52))</f>
        <v>-1.6000000000000085</v>
      </c>
      <c r="R63" s="175">
        <f>R62-((I51+I52))</f>
        <v>0.8399999999999892</v>
      </c>
      <c r="S63" s="175">
        <f>S62-(I51+I52)</f>
        <v>0.8399999999999892</v>
      </c>
      <c r="T63" s="175">
        <f>T62-(I51+I52+I53)</f>
        <v>0.41999999999998749</v>
      </c>
      <c r="U63" s="175">
        <f>U62-(I51+I52+I53)</f>
        <v>0.41999999999998749</v>
      </c>
      <c r="V63" s="175">
        <f>V62-(I51+I52+I53)</f>
        <v>0.41999999999998749</v>
      </c>
      <c r="W63" s="226">
        <f>W62-((I51+I52+I53+I54)*10/12)</f>
        <v>0.38666666666667027</v>
      </c>
      <c r="X63" s="226"/>
      <c r="Y63" s="228"/>
    </row>
    <row r="64" spans="1:25" ht="13.5" thickBot="1" x14ac:dyDescent="0.25">
      <c r="A64" s="47" t="s">
        <v>26</v>
      </c>
      <c r="B64" s="48" t="s">
        <v>13</v>
      </c>
      <c r="C64" s="18">
        <v>122.89</v>
      </c>
      <c r="D64" s="19">
        <v>89.73</v>
      </c>
      <c r="E64" s="19">
        <v>36.380000000000003</v>
      </c>
      <c r="F64" s="162">
        <f>SUM(C64:E64)</f>
        <v>249</v>
      </c>
      <c r="G64" s="108"/>
      <c r="H64" s="103"/>
      <c r="I64" s="95"/>
      <c r="J64" s="95"/>
      <c r="K64" s="82"/>
      <c r="L64" s="82"/>
      <c r="M64" s="229" t="s">
        <v>93</v>
      </c>
      <c r="N64" s="235">
        <f>N62/((I51)*1/3)</f>
        <v>0</v>
      </c>
      <c r="O64" s="235">
        <f>O62/((I51)*2/3)</f>
        <v>0</v>
      </c>
      <c r="P64" s="235">
        <f>P62/(I51*3/3)</f>
        <v>1.1116031886625333</v>
      </c>
      <c r="Q64" s="235">
        <f>Q62/((I51+I52))</f>
        <v>0.98323378392539029</v>
      </c>
      <c r="R64" s="235">
        <f>R62/((I51+I52))</f>
        <v>1.00880226343917</v>
      </c>
      <c r="S64" s="235">
        <f>S62/(I51+I52)</f>
        <v>1.00880226343917</v>
      </c>
      <c r="T64" s="235">
        <f>T62/(I51+I52+I53)</f>
        <v>1.0043818466353676</v>
      </c>
      <c r="U64" s="235">
        <f>U62/(I51+I52+I53)</f>
        <v>1.0043818466353676</v>
      </c>
      <c r="V64" s="235">
        <f>V62/(I51+I52+I53)</f>
        <v>1.0043818466353676</v>
      </c>
      <c r="W64" s="239">
        <f>W62/((I51+I52+I53+I54)*10/12)</f>
        <v>1.0040326786024683</v>
      </c>
      <c r="X64" s="230">
        <f t="shared" ref="W64:Y64" si="18">X48-X57</f>
        <v>0</v>
      </c>
      <c r="Y64" s="179">
        <f t="shared" si="18"/>
        <v>0</v>
      </c>
    </row>
    <row r="65" spans="1:25" ht="13.5" thickBot="1" x14ac:dyDescent="0.25">
      <c r="A65" s="109" t="s">
        <v>27</v>
      </c>
      <c r="B65" s="110" t="s">
        <v>28</v>
      </c>
      <c r="C65" s="111">
        <f>IF(C64=0,0,ROUND((C63/C64),2))</f>
        <v>25.03</v>
      </c>
      <c r="D65" s="112">
        <f>IF(D64=0,0,ROUND((D63/D64),2))</f>
        <v>24.28</v>
      </c>
      <c r="E65" s="112">
        <f>IF(E64=0,0,ROUND((E63/E64),2))</f>
        <v>25.12</v>
      </c>
      <c r="F65" s="113">
        <f>IF(F64=0,0,ROUND((F63/F64),2))</f>
        <v>24.78</v>
      </c>
      <c r="G65" s="114"/>
      <c r="H65" s="103"/>
      <c r="I65" s="95"/>
      <c r="J65" s="95"/>
      <c r="K65" s="82"/>
      <c r="L65" s="82"/>
    </row>
    <row r="66" spans="1:25" x14ac:dyDescent="0.2">
      <c r="A66" s="116" t="s">
        <v>37</v>
      </c>
      <c r="B66" s="88" t="s">
        <v>13</v>
      </c>
      <c r="C66" s="89">
        <v>48</v>
      </c>
      <c r="D66" s="13">
        <v>88</v>
      </c>
      <c r="E66" s="13"/>
      <c r="F66" s="117">
        <f>SUM(C66:E66)</f>
        <v>136</v>
      </c>
      <c r="G66" s="95"/>
      <c r="H66" s="103"/>
      <c r="I66" s="95"/>
      <c r="J66" s="95"/>
      <c r="K66" s="82"/>
      <c r="L66" s="82"/>
    </row>
    <row r="67" spans="1:25" ht="15.75" thickBot="1" x14ac:dyDescent="0.25">
      <c r="A67" s="118" t="s">
        <v>39</v>
      </c>
      <c r="B67" s="94" t="s">
        <v>13</v>
      </c>
      <c r="C67" s="67">
        <v>59</v>
      </c>
      <c r="D67" s="68">
        <v>90</v>
      </c>
      <c r="E67" s="68">
        <v>7</v>
      </c>
      <c r="F67" s="119">
        <f>SUM(C67:E67)</f>
        <v>156</v>
      </c>
      <c r="G67" s="95"/>
      <c r="H67" s="103"/>
      <c r="I67" s="95"/>
      <c r="J67" s="95"/>
      <c r="K67" s="82"/>
      <c r="L67" s="82"/>
      <c r="N67" s="270" t="s">
        <v>97</v>
      </c>
      <c r="O67" s="270"/>
      <c r="P67" s="270"/>
      <c r="Q67" s="270"/>
      <c r="R67" s="270"/>
      <c r="S67" s="270"/>
      <c r="T67" s="270"/>
      <c r="U67" s="270"/>
      <c r="V67" s="270"/>
      <c r="W67" s="270"/>
      <c r="X67" s="270"/>
      <c r="Y67" s="270"/>
    </row>
    <row r="68" spans="1:25" ht="13.5" thickBot="1" x14ac:dyDescent="0.25">
      <c r="A68" s="81"/>
      <c r="B68" s="80"/>
      <c r="C68" s="81"/>
      <c r="D68" s="81"/>
      <c r="E68" s="81"/>
      <c r="F68" s="81"/>
      <c r="G68" s="81"/>
      <c r="H68" s="80"/>
      <c r="I68" s="81"/>
      <c r="J68" s="81"/>
      <c r="K68" s="82"/>
      <c r="L68" s="82"/>
      <c r="M68" s="210" t="s">
        <v>94</v>
      </c>
      <c r="N68" s="175">
        <v>7</v>
      </c>
      <c r="O68" s="175">
        <v>19</v>
      </c>
      <c r="P68" s="175">
        <v>41.01</v>
      </c>
      <c r="Q68" s="175">
        <v>47.51</v>
      </c>
      <c r="R68" s="175">
        <v>71</v>
      </c>
      <c r="S68" s="175">
        <v>80.88</v>
      </c>
      <c r="T68" s="175">
        <v>89.95</v>
      </c>
      <c r="U68" s="175">
        <v>99.54</v>
      </c>
      <c r="V68" s="175">
        <v>113.71</v>
      </c>
      <c r="W68" s="175">
        <v>125.43</v>
      </c>
      <c r="X68" s="175">
        <f>X53-X62</f>
        <v>0</v>
      </c>
      <c r="Y68" s="227">
        <f>Y53-Y62</f>
        <v>0</v>
      </c>
    </row>
    <row r="69" spans="1:25" ht="13.5" thickBot="1" x14ac:dyDescent="0.25">
      <c r="A69" s="120" t="s">
        <v>47</v>
      </c>
      <c r="B69" s="121"/>
      <c r="C69" s="120"/>
      <c r="D69" s="120" t="s">
        <v>48</v>
      </c>
      <c r="E69" s="122"/>
      <c r="F69" s="120" t="s">
        <v>49</v>
      </c>
      <c r="G69" s="120"/>
      <c r="H69" s="123"/>
      <c r="I69" s="120"/>
      <c r="J69" s="81"/>
      <c r="K69" s="82"/>
      <c r="L69" s="82"/>
      <c r="M69" s="225" t="s">
        <v>95</v>
      </c>
      <c r="N69" s="175">
        <f>N68-((I58)*1/3)</f>
        <v>-3.2966666666666669</v>
      </c>
      <c r="O69" s="175">
        <f>O68-((I58)*2/3)</f>
        <v>-1.5933333333333337</v>
      </c>
      <c r="P69" s="175">
        <f>P68-((I58)*3/3)</f>
        <v>10.119999999999997</v>
      </c>
      <c r="Q69" s="175">
        <f>Q68-((I58+I59)*4/6)</f>
        <v>0.24333333333332519</v>
      </c>
      <c r="R69" s="175">
        <f>R68-((I58+I59)*5/6)</f>
        <v>11.916666666666664</v>
      </c>
      <c r="S69" s="175">
        <f>S68-(I58+I59)</f>
        <v>9.9799999999999898</v>
      </c>
      <c r="T69" s="175">
        <f>T68-((I58+I59+I60)*7/9)</f>
        <v>-8.1977777777777732</v>
      </c>
      <c r="U69" s="175">
        <f>U68-((I58+I59+I60)*8/9)</f>
        <v>-12.628888888888881</v>
      </c>
      <c r="V69" s="175">
        <f>V68-((I58+I59+I60)*9/9)</f>
        <v>-12.480000000000004</v>
      </c>
      <c r="W69" s="226">
        <f>W68-((I58+I59+I60+I61)*10/12)</f>
        <v>-4.3116666666666674</v>
      </c>
      <c r="X69" s="226"/>
      <c r="Y69" s="228"/>
    </row>
    <row r="70" spans="1:25" ht="13.5" thickBot="1" x14ac:dyDescent="0.25">
      <c r="A70" s="124"/>
      <c r="B70" s="125"/>
      <c r="C70" s="124"/>
      <c r="D70" s="126"/>
      <c r="E70" s="124"/>
      <c r="F70" s="124"/>
      <c r="G70" s="124"/>
      <c r="H70" s="125"/>
      <c r="I70" s="124"/>
      <c r="J70" s="124"/>
      <c r="K70" s="127"/>
      <c r="L70" s="127"/>
      <c r="M70" s="229" t="s">
        <v>93</v>
      </c>
      <c r="N70" s="235">
        <f>N68/((I58)*1/3)</f>
        <v>0.67983166073162837</v>
      </c>
      <c r="O70" s="235">
        <f>O68/((I58)*2/3)</f>
        <v>0.92262868242149565</v>
      </c>
      <c r="P70" s="235">
        <f>P68/((I58)*3/3)</f>
        <v>1.3276141146001941</v>
      </c>
      <c r="Q70" s="235">
        <f>Q68/((I58+I59)*4/6)</f>
        <v>1.0051480959097319</v>
      </c>
      <c r="R70" s="235">
        <f>R68/((I58+I59)*5/6)</f>
        <v>1.2016925246826515</v>
      </c>
      <c r="S70" s="235">
        <f>S68/(I58+I59)</f>
        <v>1.1407616361071931</v>
      </c>
      <c r="T70" s="235">
        <f>T68/((I58+I60+I59)*7/9)</f>
        <v>0.91647515651002465</v>
      </c>
      <c r="U70" s="235">
        <f>U68/((I58+I59+I60)*8/9)</f>
        <v>0.8874118392899597</v>
      </c>
      <c r="V70" s="235">
        <f>V68/((I58+I59+I60)*9/9)</f>
        <v>0.9011015135906173</v>
      </c>
      <c r="W70" s="239">
        <f>W68/((I58+I59+I60+I61)*10/12)</f>
        <v>0.96676729398163019</v>
      </c>
      <c r="X70" s="239">
        <f>X54-X64</f>
        <v>0</v>
      </c>
      <c r="Y70" s="238">
        <f>Y54-Y64</f>
        <v>0</v>
      </c>
    </row>
  </sheetData>
  <mergeCells count="84">
    <mergeCell ref="N43:Y43"/>
    <mergeCell ref="N49:Y49"/>
    <mergeCell ref="N55:Y55"/>
    <mergeCell ref="N27:Y27"/>
    <mergeCell ref="N32:Y32"/>
    <mergeCell ref="N37:Y37"/>
    <mergeCell ref="N1:Y1"/>
    <mergeCell ref="N4:Y4"/>
    <mergeCell ref="N9:Y9"/>
    <mergeCell ref="N15:Y15"/>
    <mergeCell ref="N22:Y22"/>
    <mergeCell ref="C1:K1"/>
    <mergeCell ref="A2:A3"/>
    <mergeCell ref="B2:B3"/>
    <mergeCell ref="C2:C3"/>
    <mergeCell ref="D2:E2"/>
    <mergeCell ref="F2:F3"/>
    <mergeCell ref="H2:L2"/>
    <mergeCell ref="A21:B21"/>
    <mergeCell ref="C22:F22"/>
    <mergeCell ref="C4:F4"/>
    <mergeCell ref="A7:A8"/>
    <mergeCell ref="B7:B8"/>
    <mergeCell ref="C7:C8"/>
    <mergeCell ref="D7:D8"/>
    <mergeCell ref="E7:E8"/>
    <mergeCell ref="F7:F8"/>
    <mergeCell ref="F25:F26"/>
    <mergeCell ref="C9:F9"/>
    <mergeCell ref="H9:L9"/>
    <mergeCell ref="C15:F15"/>
    <mergeCell ref="H15:L15"/>
    <mergeCell ref="A25:A26"/>
    <mergeCell ref="B25:B26"/>
    <mergeCell ref="C25:C26"/>
    <mergeCell ref="D25:D26"/>
    <mergeCell ref="E25:E26"/>
    <mergeCell ref="C27:F27"/>
    <mergeCell ref="A30:A31"/>
    <mergeCell ref="B30:B31"/>
    <mergeCell ref="C30:C31"/>
    <mergeCell ref="D30:D31"/>
    <mergeCell ref="E30:E31"/>
    <mergeCell ref="F30:F31"/>
    <mergeCell ref="C32:F32"/>
    <mergeCell ref="A35:A36"/>
    <mergeCell ref="B35:B36"/>
    <mergeCell ref="C35:C36"/>
    <mergeCell ref="D35:D36"/>
    <mergeCell ref="E35:E36"/>
    <mergeCell ref="F35:F36"/>
    <mergeCell ref="C37:F37"/>
    <mergeCell ref="A40:A41"/>
    <mergeCell ref="B40:B41"/>
    <mergeCell ref="C40:C41"/>
    <mergeCell ref="D40:D41"/>
    <mergeCell ref="E40:E41"/>
    <mergeCell ref="F40:F41"/>
    <mergeCell ref="C42:F42"/>
    <mergeCell ref="H43:L43"/>
    <mergeCell ref="A49:F49"/>
    <mergeCell ref="C50:F50"/>
    <mergeCell ref="I50:J50"/>
    <mergeCell ref="K50:L50"/>
    <mergeCell ref="I51:J51"/>
    <mergeCell ref="K51:L51"/>
    <mergeCell ref="I52:J52"/>
    <mergeCell ref="K52:L52"/>
    <mergeCell ref="I53:J53"/>
    <mergeCell ref="K53:L53"/>
    <mergeCell ref="N61:Y61"/>
    <mergeCell ref="N67:Y67"/>
    <mergeCell ref="I62:L62"/>
    <mergeCell ref="C54:F54"/>
    <mergeCell ref="I54:J54"/>
    <mergeCell ref="K54:L54"/>
    <mergeCell ref="I55:J55"/>
    <mergeCell ref="K55:L55"/>
    <mergeCell ref="I57:L57"/>
    <mergeCell ref="I58:L58"/>
    <mergeCell ref="I59:L59"/>
    <mergeCell ref="C60:F60"/>
    <mergeCell ref="I60:L60"/>
    <mergeCell ref="I61:L61"/>
  </mergeCells>
  <conditionalFormatting sqref="G63 F18:G18 F35:G35 F40:G40 F12:G12 F25:G25 F45:G45 G53 G57 F30:G30">
    <cfRule type="cellIs" dxfId="11" priority="3" stopIfTrue="1" operator="notEqual">
      <formula>F10+F11</formula>
    </cfRule>
  </conditionalFormatting>
  <conditionalFormatting sqref="H31">
    <cfRule type="expression" dxfId="10" priority="4" stopIfTrue="1">
      <formula>F31&lt;&gt;SUM(I27:I31)</formula>
    </cfRule>
  </conditionalFormatting>
  <conditionalFormatting sqref="F63 F53 F57">
    <cfRule type="cellIs" dxfId="9" priority="1" stopIfTrue="1" operator="notEqual">
      <formula>F51+F52</formula>
    </cfRule>
  </conditionalFormatting>
  <printOptions horizontalCentered="1" verticalCentered="1"/>
  <pageMargins left="0" right="0" top="0" bottom="0" header="0.51181102362204722" footer="0.51181102362204722"/>
  <pageSetup paperSize="9"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view="pageBreakPreview" topLeftCell="A42" zoomScale="96" zoomScaleNormal="100" zoomScaleSheetLayoutView="96" workbookViewId="0">
      <selection activeCell="W70" sqref="W70"/>
    </sheetView>
  </sheetViews>
  <sheetFormatPr defaultRowHeight="12.75" x14ac:dyDescent="0.2"/>
  <cols>
    <col min="2" max="2" width="10.42578125" customWidth="1"/>
    <col min="3" max="5" width="9.28515625" bestFit="1" customWidth="1"/>
    <col min="6" max="6" width="8.28515625" customWidth="1"/>
    <col min="7" max="7" width="2" customWidth="1"/>
    <col min="9" max="11" width="9.28515625" bestFit="1" customWidth="1"/>
    <col min="12" max="12" width="8.140625" customWidth="1"/>
    <col min="13" max="13" width="12.28515625" customWidth="1"/>
    <col min="14" max="25" width="9.28515625" customWidth="1"/>
    <col min="26" max="26" width="6.85546875" customWidth="1"/>
  </cols>
  <sheetData>
    <row r="1" spans="1:25" ht="16.5" thickBot="1" x14ac:dyDescent="0.3">
      <c r="A1" s="1" t="s">
        <v>0</v>
      </c>
      <c r="B1" s="2" t="s">
        <v>1</v>
      </c>
      <c r="C1" s="325" t="s">
        <v>99</v>
      </c>
      <c r="D1" s="325"/>
      <c r="E1" s="325"/>
      <c r="F1" s="325"/>
      <c r="G1" s="325"/>
      <c r="H1" s="325"/>
      <c r="I1" s="325"/>
      <c r="J1" s="325"/>
      <c r="K1" s="325"/>
      <c r="L1" s="2" t="s">
        <v>2</v>
      </c>
      <c r="N1" s="336" t="s">
        <v>54</v>
      </c>
      <c r="O1" s="337"/>
      <c r="P1" s="337"/>
      <c r="Q1" s="337"/>
      <c r="R1" s="337"/>
      <c r="S1" s="337"/>
      <c r="T1" s="338"/>
      <c r="U1" s="338"/>
      <c r="V1" s="338"/>
      <c r="W1" s="338"/>
      <c r="X1" s="338"/>
      <c r="Y1" s="339"/>
    </row>
    <row r="2" spans="1:25" ht="13.5" thickBot="1" x14ac:dyDescent="0.25">
      <c r="A2" s="326"/>
      <c r="B2" s="328" t="s">
        <v>3</v>
      </c>
      <c r="C2" s="330" t="s">
        <v>4</v>
      </c>
      <c r="D2" s="332" t="s">
        <v>5</v>
      </c>
      <c r="E2" s="332"/>
      <c r="F2" s="333" t="s">
        <v>6</v>
      </c>
      <c r="G2" s="3"/>
      <c r="H2" s="335" t="s">
        <v>7</v>
      </c>
      <c r="I2" s="287"/>
      <c r="J2" s="287"/>
      <c r="K2" s="287"/>
      <c r="L2" s="288"/>
      <c r="N2" s="166" t="s">
        <v>55</v>
      </c>
      <c r="O2" s="167" t="s">
        <v>56</v>
      </c>
      <c r="P2" s="167" t="s">
        <v>57</v>
      </c>
      <c r="Q2" s="167" t="s">
        <v>58</v>
      </c>
      <c r="R2" s="167" t="s">
        <v>59</v>
      </c>
      <c r="S2" s="167" t="s">
        <v>60</v>
      </c>
      <c r="T2" s="167" t="s">
        <v>61</v>
      </c>
      <c r="U2" s="167" t="s">
        <v>62</v>
      </c>
      <c r="V2" s="167" t="s">
        <v>63</v>
      </c>
      <c r="W2" s="167" t="s">
        <v>64</v>
      </c>
      <c r="X2" s="167" t="s">
        <v>65</v>
      </c>
      <c r="Y2" s="168" t="s">
        <v>66</v>
      </c>
    </row>
    <row r="3" spans="1:25" ht="13.5" thickBot="1" x14ac:dyDescent="0.25">
      <c r="A3" s="327"/>
      <c r="B3" s="329"/>
      <c r="C3" s="331"/>
      <c r="D3" s="4" t="s">
        <v>8</v>
      </c>
      <c r="E3" s="5" t="s">
        <v>9</v>
      </c>
      <c r="F3" s="334"/>
      <c r="G3" s="3"/>
      <c r="H3" s="6" t="s">
        <v>10</v>
      </c>
      <c r="I3" s="7" t="s">
        <v>11</v>
      </c>
      <c r="J3" s="7" t="s">
        <v>12</v>
      </c>
      <c r="K3" s="7" t="s">
        <v>6</v>
      </c>
      <c r="L3" s="8" t="s">
        <v>13</v>
      </c>
    </row>
    <row r="4" spans="1:25" ht="13.5" thickBot="1" x14ac:dyDescent="0.25">
      <c r="A4" s="9"/>
      <c r="B4" s="10"/>
      <c r="C4" s="268" t="s">
        <v>14</v>
      </c>
      <c r="D4" s="268"/>
      <c r="E4" s="268"/>
      <c r="F4" s="269"/>
      <c r="G4" s="11"/>
      <c r="H4" s="12" t="s">
        <v>15</v>
      </c>
      <c r="I4" s="13">
        <v>919</v>
      </c>
      <c r="J4" s="13">
        <v>2583</v>
      </c>
      <c r="K4" s="14">
        <f>SUM(I4:J4)</f>
        <v>3502</v>
      </c>
      <c r="L4" s="15" t="s">
        <v>16</v>
      </c>
      <c r="N4" s="340" t="s">
        <v>67</v>
      </c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</row>
    <row r="5" spans="1:25" x14ac:dyDescent="0.2">
      <c r="A5" s="16" t="s">
        <v>17</v>
      </c>
      <c r="B5" s="17" t="s">
        <v>18</v>
      </c>
      <c r="C5" s="18">
        <v>1273</v>
      </c>
      <c r="D5" s="19"/>
      <c r="E5" s="19">
        <v>405</v>
      </c>
      <c r="F5" s="20">
        <f>SUM(C5:E5)</f>
        <v>1678</v>
      </c>
      <c r="G5" s="21"/>
      <c r="H5" s="22" t="s">
        <v>19</v>
      </c>
      <c r="I5" s="19">
        <v>354</v>
      </c>
      <c r="J5" s="19">
        <v>2414</v>
      </c>
      <c r="K5" s="23">
        <f>SUM(I5:J5)</f>
        <v>2768</v>
      </c>
      <c r="L5" s="24" t="s">
        <v>16</v>
      </c>
      <c r="N5" s="169">
        <v>194</v>
      </c>
      <c r="O5" s="169">
        <v>441</v>
      </c>
      <c r="P5" s="169">
        <v>441</v>
      </c>
      <c r="Q5" s="169">
        <v>462</v>
      </c>
      <c r="R5" s="169">
        <v>462</v>
      </c>
      <c r="S5" s="169">
        <v>462</v>
      </c>
      <c r="T5" s="169">
        <v>475</v>
      </c>
      <c r="U5" s="169">
        <v>475</v>
      </c>
      <c r="V5" s="169">
        <v>475</v>
      </c>
      <c r="W5" s="169">
        <v>574</v>
      </c>
      <c r="X5" s="169">
        <f>[1]Šaštín!X5+[1]Holíč!X5+'[1]Mor. Ján'!X5+[1]Lozorno!X5+[1]Sološnica!X5</f>
        <v>0</v>
      </c>
      <c r="Y5" s="169">
        <f>[1]Šaštín!Y5+[1]Holíč!Y5+'[1]Mor. Ján'!Y5+[1]Lozorno!Y5+[1]Sološnica!Y5</f>
        <v>0</v>
      </c>
    </row>
    <row r="6" spans="1:25" ht="13.5" thickBot="1" x14ac:dyDescent="0.25">
      <c r="A6" s="16" t="s">
        <v>20</v>
      </c>
      <c r="B6" s="17" t="s">
        <v>18</v>
      </c>
      <c r="C6" s="18">
        <v>9890</v>
      </c>
      <c r="D6" s="19"/>
      <c r="E6" s="19">
        <v>301</v>
      </c>
      <c r="F6" s="20">
        <f>SUM(C6:E6)</f>
        <v>10191</v>
      </c>
      <c r="G6" s="21"/>
      <c r="H6" s="22" t="s">
        <v>21</v>
      </c>
      <c r="I6" s="19">
        <v>405</v>
      </c>
      <c r="J6" s="19">
        <v>1455</v>
      </c>
      <c r="K6" s="23">
        <f>SUM(I6:J6)</f>
        <v>1860</v>
      </c>
      <c r="L6" s="24" t="s">
        <v>16</v>
      </c>
      <c r="N6" s="170">
        <v>585</v>
      </c>
      <c r="O6" s="170">
        <v>1032</v>
      </c>
      <c r="P6" s="170">
        <v>2025</v>
      </c>
      <c r="Q6" s="170">
        <v>3387</v>
      </c>
      <c r="R6" s="170">
        <v>3666</v>
      </c>
      <c r="S6" s="170">
        <v>3993</v>
      </c>
      <c r="T6" s="170">
        <v>4695</v>
      </c>
      <c r="U6" s="170">
        <v>6076</v>
      </c>
      <c r="V6" s="170">
        <v>7195</v>
      </c>
      <c r="W6" s="170">
        <v>9030</v>
      </c>
      <c r="X6" s="170">
        <f>[1]Šaštín!X6+[1]Holíč!X6+'[1]Mor. Ján'!X6+[1]Lozorno!X6+[1]Sološnica!X6</f>
        <v>0</v>
      </c>
      <c r="Y6" s="170">
        <f>[1]Šaštín!Y6+[1]Holíč!Y6+'[1]Mor. Ján'!Y6+[1]Lozorno!Y6+[1]Sološnica!Y6</f>
        <v>0</v>
      </c>
    </row>
    <row r="7" spans="1:25" ht="13.5" thickBot="1" x14ac:dyDescent="0.25">
      <c r="A7" s="289" t="s">
        <v>6</v>
      </c>
      <c r="B7" s="291" t="s">
        <v>22</v>
      </c>
      <c r="C7" s="293">
        <f>SUM(C5:C6)</f>
        <v>11163</v>
      </c>
      <c r="D7" s="295">
        <f>SUM(D5:D6)</f>
        <v>0</v>
      </c>
      <c r="E7" s="295">
        <f>SUM(E5:E6)</f>
        <v>706</v>
      </c>
      <c r="F7" s="297">
        <f>SUM(C7:E7)</f>
        <v>11869</v>
      </c>
      <c r="G7" s="25"/>
      <c r="H7" s="26" t="s">
        <v>23</v>
      </c>
      <c r="I7" s="23">
        <f>I8-I4-I5-I6</f>
        <v>0</v>
      </c>
      <c r="J7" s="23">
        <f>J8-J4-J5-J6</f>
        <v>3739</v>
      </c>
      <c r="K7" s="23">
        <f>SUM(I7:J7)</f>
        <v>3739</v>
      </c>
      <c r="L7" s="27" t="s">
        <v>16</v>
      </c>
      <c r="N7" s="171">
        <f>N5+N6</f>
        <v>779</v>
      </c>
      <c r="O7" s="172">
        <f>O5+O6</f>
        <v>1473</v>
      </c>
      <c r="P7" s="173">
        <f>SUM(P5:P6)</f>
        <v>2466</v>
      </c>
      <c r="Q7" s="173">
        <f t="shared" ref="Q7:Y7" si="0">SUM(Q5:Q6)</f>
        <v>3849</v>
      </c>
      <c r="R7" s="173">
        <f t="shared" si="0"/>
        <v>4128</v>
      </c>
      <c r="S7" s="173">
        <f t="shared" si="0"/>
        <v>4455</v>
      </c>
      <c r="T7" s="173">
        <f t="shared" si="0"/>
        <v>5170</v>
      </c>
      <c r="U7" s="173">
        <f t="shared" si="0"/>
        <v>6551</v>
      </c>
      <c r="V7" s="173">
        <f t="shared" si="0"/>
        <v>7670</v>
      </c>
      <c r="W7" s="173">
        <f t="shared" si="0"/>
        <v>9604</v>
      </c>
      <c r="X7" s="173">
        <f t="shared" si="0"/>
        <v>0</v>
      </c>
      <c r="Y7" s="174">
        <f t="shared" si="0"/>
        <v>0</v>
      </c>
    </row>
    <row r="8" spans="1:25" ht="13.5" thickBot="1" x14ac:dyDescent="0.25">
      <c r="A8" s="320"/>
      <c r="B8" s="321"/>
      <c r="C8" s="358"/>
      <c r="D8" s="359"/>
      <c r="E8" s="359"/>
      <c r="F8" s="360"/>
      <c r="G8" s="25"/>
      <c r="H8" s="28" t="s">
        <v>24</v>
      </c>
      <c r="I8" s="29">
        <f>F5</f>
        <v>1678</v>
      </c>
      <c r="J8" s="29">
        <f>F6</f>
        <v>10191</v>
      </c>
      <c r="K8" s="29">
        <f>SUM(I8:J8)</f>
        <v>11869</v>
      </c>
      <c r="L8" s="30" t="s">
        <v>16</v>
      </c>
    </row>
    <row r="9" spans="1:25" ht="13.5" thickBot="1" x14ac:dyDescent="0.25">
      <c r="A9" s="31"/>
      <c r="B9" s="32"/>
      <c r="C9" s="268" t="s">
        <v>25</v>
      </c>
      <c r="D9" s="268"/>
      <c r="E9" s="268"/>
      <c r="F9" s="269"/>
      <c r="G9" s="21"/>
      <c r="H9" s="315"/>
      <c r="I9" s="316"/>
      <c r="J9" s="316"/>
      <c r="K9" s="316"/>
      <c r="L9" s="317"/>
      <c r="N9" s="341" t="s">
        <v>68</v>
      </c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</row>
    <row r="10" spans="1:25" x14ac:dyDescent="0.2">
      <c r="A10" s="16" t="s">
        <v>17</v>
      </c>
      <c r="B10" s="17" t="s">
        <v>18</v>
      </c>
      <c r="C10" s="18"/>
      <c r="D10" s="19"/>
      <c r="E10" s="19"/>
      <c r="F10" s="20">
        <f>SUM(C10:E10)</f>
        <v>0</v>
      </c>
      <c r="G10" s="21"/>
      <c r="H10" s="22" t="s">
        <v>15</v>
      </c>
      <c r="I10" s="19"/>
      <c r="J10" s="19">
        <v>257</v>
      </c>
      <c r="K10" s="23">
        <f>SUM(I10:J10)</f>
        <v>257</v>
      </c>
      <c r="L10" s="33">
        <v>9</v>
      </c>
      <c r="N10" s="169"/>
      <c r="O10" s="169"/>
      <c r="P10" s="169"/>
      <c r="Q10" s="169"/>
      <c r="R10" s="169"/>
      <c r="S10" s="169"/>
      <c r="T10" s="169"/>
      <c r="U10" s="169"/>
      <c r="V10" s="169"/>
      <c r="W10" s="169">
        <f>[1]Šaštín!W10+[1]Holíč!W10+'[1]Mor. Ján'!W10+[1]Lozorno!W10+[1]Sološnica!W10</f>
        <v>0</v>
      </c>
      <c r="X10" s="169">
        <f>[1]Šaštín!X10+[1]Holíč!X10+'[1]Mor. Ján'!X10+[1]Lozorno!X10+[1]Sološnica!X10</f>
        <v>0</v>
      </c>
      <c r="Y10" s="169">
        <f>[1]Šaštín!Y10+[1]Holíč!Y10+'[1]Mor. Ján'!Y10+[1]Lozorno!Y10+[1]Sološnica!Y10</f>
        <v>0</v>
      </c>
    </row>
    <row r="11" spans="1:25" ht="13.5" thickBot="1" x14ac:dyDescent="0.25">
      <c r="A11" s="34" t="s">
        <v>20</v>
      </c>
      <c r="B11" s="35" t="s">
        <v>18</v>
      </c>
      <c r="C11" s="36">
        <v>6068</v>
      </c>
      <c r="D11" s="37"/>
      <c r="E11" s="37"/>
      <c r="F11" s="38">
        <f>SUM(C11:E11)</f>
        <v>6068</v>
      </c>
      <c r="G11" s="21"/>
      <c r="H11" s="39" t="s">
        <v>19</v>
      </c>
      <c r="I11" s="37"/>
      <c r="J11" s="37">
        <v>2238</v>
      </c>
      <c r="K11" s="40">
        <f>SUM(I11:J11)</f>
        <v>2238</v>
      </c>
      <c r="L11" s="41">
        <v>65</v>
      </c>
      <c r="N11" s="170"/>
      <c r="O11" s="170">
        <v>798</v>
      </c>
      <c r="P11" s="170">
        <v>1014</v>
      </c>
      <c r="Q11" s="170">
        <v>1135</v>
      </c>
      <c r="R11" s="170">
        <v>1613</v>
      </c>
      <c r="S11" s="170">
        <v>2468</v>
      </c>
      <c r="T11" s="170">
        <v>2919</v>
      </c>
      <c r="U11" s="170">
        <v>3093</v>
      </c>
      <c r="V11" s="170">
        <v>3221</v>
      </c>
      <c r="W11" s="170">
        <v>3569</v>
      </c>
      <c r="X11" s="170">
        <f>[1]Šaštín!X11+[1]Holíč!X11+'[1]Mor. Ján'!X11+[1]Lozorno!X11+[1]Sološnica!X11</f>
        <v>0</v>
      </c>
      <c r="Y11" s="170">
        <f>[1]Šaštín!Y11+[1]Holíč!Y11+'[1]Mor. Ján'!Y11+[1]Lozorno!Y11+[1]Sološnica!Y11</f>
        <v>0</v>
      </c>
    </row>
    <row r="12" spans="1:25" ht="13.5" thickBot="1" x14ac:dyDescent="0.25">
      <c r="A12" s="42" t="s">
        <v>6</v>
      </c>
      <c r="B12" s="43" t="s">
        <v>22</v>
      </c>
      <c r="C12" s="44">
        <f>SUM(C10:C11)</f>
        <v>6068</v>
      </c>
      <c r="D12" s="45">
        <f>SUM(D10:D11)</f>
        <v>0</v>
      </c>
      <c r="E12" s="45">
        <f>SUM(E10:E11)</f>
        <v>0</v>
      </c>
      <c r="F12" s="46">
        <f>SUM(C12:E12)</f>
        <v>6068</v>
      </c>
      <c r="G12" s="21"/>
      <c r="H12" s="22" t="s">
        <v>21</v>
      </c>
      <c r="I12" s="19"/>
      <c r="J12" s="19">
        <v>1793</v>
      </c>
      <c r="K12" s="23">
        <f>SUM(I12:J12)</f>
        <v>1793</v>
      </c>
      <c r="L12" s="33">
        <v>74</v>
      </c>
      <c r="N12" s="171">
        <f>N10+N11</f>
        <v>0</v>
      </c>
      <c r="O12" s="172">
        <f>O10+O11</f>
        <v>798</v>
      </c>
      <c r="P12" s="173">
        <f>SUM(P10:P11)</f>
        <v>1014</v>
      </c>
      <c r="Q12" s="173">
        <f t="shared" ref="Q12:Y12" si="1">SUM(Q10:Q11)</f>
        <v>1135</v>
      </c>
      <c r="R12" s="173">
        <f t="shared" si="1"/>
        <v>1613</v>
      </c>
      <c r="S12" s="173">
        <f t="shared" si="1"/>
        <v>2468</v>
      </c>
      <c r="T12" s="173">
        <f t="shared" si="1"/>
        <v>2919</v>
      </c>
      <c r="U12" s="173">
        <f t="shared" si="1"/>
        <v>3093</v>
      </c>
      <c r="V12" s="173">
        <f t="shared" si="1"/>
        <v>3221</v>
      </c>
      <c r="W12" s="173">
        <f t="shared" si="1"/>
        <v>3569</v>
      </c>
      <c r="X12" s="173">
        <f t="shared" si="1"/>
        <v>0</v>
      </c>
      <c r="Y12" s="174">
        <f t="shared" si="1"/>
        <v>0</v>
      </c>
    </row>
    <row r="13" spans="1:25" x14ac:dyDescent="0.2">
      <c r="A13" s="47" t="s">
        <v>26</v>
      </c>
      <c r="B13" s="48" t="s">
        <v>13</v>
      </c>
      <c r="C13" s="18">
        <v>190</v>
      </c>
      <c r="D13" s="19"/>
      <c r="E13" s="19"/>
      <c r="F13" s="49">
        <f>SUM(C13:E13)</f>
        <v>190</v>
      </c>
      <c r="G13" s="50"/>
      <c r="H13" s="22" t="s">
        <v>23</v>
      </c>
      <c r="I13" s="23">
        <f>I14-I10-I11-I12</f>
        <v>0</v>
      </c>
      <c r="J13" s="23">
        <f>J14-J10-J11-J12</f>
        <v>1780</v>
      </c>
      <c r="K13" s="23">
        <f>K14-K10-K11-K12</f>
        <v>1780</v>
      </c>
      <c r="L13" s="51">
        <f>L14-L10-L11-L12</f>
        <v>42</v>
      </c>
      <c r="O13">
        <v>14</v>
      </c>
      <c r="P13">
        <v>14</v>
      </c>
      <c r="Q13">
        <v>14</v>
      </c>
      <c r="R13">
        <v>30</v>
      </c>
      <c r="S13">
        <v>67</v>
      </c>
      <c r="T13">
        <v>74</v>
      </c>
      <c r="U13">
        <v>89</v>
      </c>
      <c r="V13">
        <v>89</v>
      </c>
      <c r="W13">
        <v>102</v>
      </c>
      <c r="X13">
        <f>[1]Šaštín!X13+[1]Holíč!X13+'[1]Mor. Ján'!X13+[1]Lozorno!X13+[1]Sološnica!X13</f>
        <v>0</v>
      </c>
      <c r="Y13">
        <f>[1]Šaštín!Y13+[1]Holíč!Y13+'[1]Mor. Ján'!Y13+[1]Lozorno!Y13+[1]Sološnica!Y13</f>
        <v>0</v>
      </c>
    </row>
    <row r="14" spans="1:25" ht="13.5" thickBot="1" x14ac:dyDescent="0.25">
      <c r="A14" s="52" t="s">
        <v>27</v>
      </c>
      <c r="B14" s="53" t="s">
        <v>28</v>
      </c>
      <c r="C14" s="54">
        <f>IF(C13=0,0,ROUND((C12/C13),2))</f>
        <v>31.94</v>
      </c>
      <c r="D14" s="55">
        <f>IF(D13=0,0,ROUND((D12/D13),2))</f>
        <v>0</v>
      </c>
      <c r="E14" s="55">
        <f>IF(E13=0,0,ROUND((E12/E13),2))</f>
        <v>0</v>
      </c>
      <c r="F14" s="56">
        <f>IF(F13=0,0,ROUND((F12/F13),2))</f>
        <v>31.94</v>
      </c>
      <c r="G14" s="57"/>
      <c r="H14" s="58" t="s">
        <v>24</v>
      </c>
      <c r="I14" s="29">
        <f>F10</f>
        <v>0</v>
      </c>
      <c r="J14" s="29">
        <f>F11</f>
        <v>6068</v>
      </c>
      <c r="K14" s="29">
        <f>SUM(I14:J14)</f>
        <v>6068</v>
      </c>
      <c r="L14" s="59">
        <f>F13</f>
        <v>190</v>
      </c>
    </row>
    <row r="15" spans="1:25" ht="13.5" thickBot="1" x14ac:dyDescent="0.25">
      <c r="A15" s="31"/>
      <c r="B15" s="32"/>
      <c r="C15" s="268" t="s">
        <v>29</v>
      </c>
      <c r="D15" s="268"/>
      <c r="E15" s="268"/>
      <c r="F15" s="269"/>
      <c r="G15" s="21"/>
      <c r="H15" s="315"/>
      <c r="I15" s="316"/>
      <c r="J15" s="316"/>
      <c r="K15" s="316"/>
      <c r="L15" s="317"/>
      <c r="N15" s="341" t="s">
        <v>69</v>
      </c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</row>
    <row r="16" spans="1:25" x14ac:dyDescent="0.2">
      <c r="A16" s="16" t="s">
        <v>17</v>
      </c>
      <c r="B16" s="17" t="s">
        <v>18</v>
      </c>
      <c r="C16" s="18"/>
      <c r="D16" s="19"/>
      <c r="E16" s="19"/>
      <c r="F16" s="20">
        <f>SUM(C16:E16)</f>
        <v>0</v>
      </c>
      <c r="G16" s="21"/>
      <c r="H16" s="22" t="s">
        <v>15</v>
      </c>
      <c r="I16" s="19"/>
      <c r="J16" s="19"/>
      <c r="K16" s="23">
        <f>SUM(I16:J16)</f>
        <v>0</v>
      </c>
      <c r="L16" s="33"/>
      <c r="N16" s="169"/>
      <c r="O16" s="169"/>
      <c r="P16" s="169"/>
      <c r="Q16" s="169"/>
      <c r="R16" s="169"/>
      <c r="S16" s="169"/>
      <c r="T16" s="169"/>
      <c r="U16" s="169"/>
      <c r="V16" s="169"/>
      <c r="W16" s="169">
        <f>[1]Šaštín!W16+[1]Holíč!W16+'[1]Mor. Ján'!W16+[1]Lozorno!W16+[1]Sološnica!W16</f>
        <v>0</v>
      </c>
      <c r="X16" s="169">
        <f>[1]Šaštín!X16+[1]Holíč!X16+'[1]Mor. Ján'!X16+[1]Lozorno!X16+[1]Sološnica!X16</f>
        <v>0</v>
      </c>
      <c r="Y16" s="169">
        <f>[1]Šaštín!Y16+[1]Holíč!Y16+'[1]Mor. Ján'!Y16+[1]Lozorno!Y16+[1]Sološnica!Y16</f>
        <v>0</v>
      </c>
    </row>
    <row r="17" spans="1:25" ht="13.5" thickBot="1" x14ac:dyDescent="0.25">
      <c r="A17" s="34" t="s">
        <v>20</v>
      </c>
      <c r="B17" s="35" t="s">
        <v>18</v>
      </c>
      <c r="C17" s="36">
        <v>1908</v>
      </c>
      <c r="D17" s="37"/>
      <c r="E17" s="37"/>
      <c r="F17" s="38">
        <f>SUM(C17:E17)</f>
        <v>1908</v>
      </c>
      <c r="G17" s="21"/>
      <c r="H17" s="39" t="s">
        <v>19</v>
      </c>
      <c r="I17" s="37"/>
      <c r="J17" s="37">
        <v>664</v>
      </c>
      <c r="K17" s="40">
        <f>SUM(I17:J17)</f>
        <v>664</v>
      </c>
      <c r="L17" s="41">
        <v>33</v>
      </c>
      <c r="N17" s="170"/>
      <c r="O17" s="170"/>
      <c r="P17" s="170"/>
      <c r="Q17" s="170"/>
      <c r="R17" s="170">
        <v>132</v>
      </c>
      <c r="S17" s="170">
        <v>167</v>
      </c>
      <c r="T17" s="170">
        <v>349</v>
      </c>
      <c r="U17" s="170">
        <v>503</v>
      </c>
      <c r="V17" s="170">
        <v>559</v>
      </c>
      <c r="W17" s="170">
        <v>746</v>
      </c>
      <c r="X17" s="170">
        <f>[1]Šaštín!X17+[1]Holíč!X17+'[1]Mor. Ján'!X17+[1]Lozorno!X17+[1]Sološnica!X17</f>
        <v>0</v>
      </c>
      <c r="Y17" s="170">
        <f>[1]Šaštín!Y17+[1]Holíč!Y17+'[1]Mor. Ján'!Y17+[1]Lozorno!Y17+[1]Sološnica!Y17</f>
        <v>0</v>
      </c>
    </row>
    <row r="18" spans="1:25" ht="13.5" thickBot="1" x14ac:dyDescent="0.25">
      <c r="A18" s="42" t="s">
        <v>6</v>
      </c>
      <c r="B18" s="43" t="s">
        <v>22</v>
      </c>
      <c r="C18" s="60">
        <f>SUM(C16:C17)</f>
        <v>1908</v>
      </c>
      <c r="D18" s="61">
        <f>SUM(D16:D17)</f>
        <v>0</v>
      </c>
      <c r="E18" s="61">
        <f>SUM(E16:E17)</f>
        <v>0</v>
      </c>
      <c r="F18" s="20">
        <f>SUM(C18:E18)</f>
        <v>1908</v>
      </c>
      <c r="G18" s="21"/>
      <c r="H18" s="22" t="s">
        <v>21</v>
      </c>
      <c r="I18" s="19"/>
      <c r="J18" s="19">
        <v>1107</v>
      </c>
      <c r="K18" s="23">
        <f>SUM(I18:J18)</f>
        <v>1107</v>
      </c>
      <c r="L18" s="33">
        <v>54</v>
      </c>
      <c r="N18" s="171">
        <f>N16+N17</f>
        <v>0</v>
      </c>
      <c r="O18" s="172">
        <f>O16+O17</f>
        <v>0</v>
      </c>
      <c r="P18" s="173">
        <f>SUM(P16:P17)</f>
        <v>0</v>
      </c>
      <c r="Q18" s="173">
        <f t="shared" ref="Q18:Y18" si="2">SUM(Q16:Q17)</f>
        <v>0</v>
      </c>
      <c r="R18" s="173">
        <f t="shared" si="2"/>
        <v>132</v>
      </c>
      <c r="S18" s="173">
        <f t="shared" si="2"/>
        <v>167</v>
      </c>
      <c r="T18" s="173">
        <f t="shared" si="2"/>
        <v>349</v>
      </c>
      <c r="U18" s="173">
        <f t="shared" si="2"/>
        <v>503</v>
      </c>
      <c r="V18" s="173">
        <f t="shared" si="2"/>
        <v>559</v>
      </c>
      <c r="W18" s="173">
        <f t="shared" si="2"/>
        <v>746</v>
      </c>
      <c r="X18" s="173">
        <f t="shared" si="2"/>
        <v>0</v>
      </c>
      <c r="Y18" s="174">
        <f t="shared" si="2"/>
        <v>0</v>
      </c>
    </row>
    <row r="19" spans="1:25" x14ac:dyDescent="0.2">
      <c r="A19" s="47" t="s">
        <v>26</v>
      </c>
      <c r="B19" s="48" t="s">
        <v>13</v>
      </c>
      <c r="C19" s="18">
        <v>95</v>
      </c>
      <c r="D19" s="19"/>
      <c r="E19" s="19"/>
      <c r="F19" s="49">
        <f>SUM(C19:E19)</f>
        <v>95</v>
      </c>
      <c r="G19" s="50"/>
      <c r="H19" s="22" t="s">
        <v>23</v>
      </c>
      <c r="I19" s="23">
        <f>I20-I16-I17-I18</f>
        <v>0</v>
      </c>
      <c r="J19" s="23">
        <f>J20-J16-J17-J18</f>
        <v>137</v>
      </c>
      <c r="K19" s="23">
        <f>SUM(I19:J19)</f>
        <v>137</v>
      </c>
      <c r="L19" s="51">
        <f>L20-L16-L17-L18</f>
        <v>8</v>
      </c>
      <c r="R19">
        <v>6</v>
      </c>
      <c r="S19">
        <v>7</v>
      </c>
      <c r="T19">
        <v>7</v>
      </c>
      <c r="U19">
        <v>23</v>
      </c>
      <c r="V19">
        <v>23</v>
      </c>
      <c r="W19">
        <v>26</v>
      </c>
      <c r="X19">
        <f>[1]Šaštín!X19+[1]Holíč!X19+'[1]Mor. Ján'!X19+[1]Lozorno!X19+[1]Sološnica!X19</f>
        <v>0</v>
      </c>
      <c r="Y19">
        <f>[1]Šaštín!Y19+[1]Holíč!Y19+'[1]Mor. Ján'!Y19+[1]Lozorno!Y19+[1]Sološnica!Y19</f>
        <v>0</v>
      </c>
    </row>
    <row r="20" spans="1:25" x14ac:dyDescent="0.2">
      <c r="A20" s="62" t="s">
        <v>27</v>
      </c>
      <c r="B20" s="63" t="s">
        <v>28</v>
      </c>
      <c r="C20" s="65">
        <f>IF(C19=0,0,ROUND((C18/C19),2))</f>
        <v>20.079999999999998</v>
      </c>
      <c r="D20" s="65">
        <f>IF(D19=0,0,ROUND((D18/D19),2))</f>
        <v>0</v>
      </c>
      <c r="E20" s="65">
        <f>IF(E19=0,0,ROUND((E18/E19),2))</f>
        <v>0</v>
      </c>
      <c r="F20" s="66">
        <f>IF(F19=0,0,ROUND((F18/F19),2))</f>
        <v>20.079999999999998</v>
      </c>
      <c r="G20" s="57"/>
      <c r="H20" s="58" t="s">
        <v>24</v>
      </c>
      <c r="I20" s="29">
        <f>F16</f>
        <v>0</v>
      </c>
      <c r="J20" s="29">
        <f>F17</f>
        <v>1908</v>
      </c>
      <c r="K20" s="29">
        <f>SUM(I20:J20)</f>
        <v>1908</v>
      </c>
      <c r="L20" s="59">
        <f>F19</f>
        <v>95</v>
      </c>
    </row>
    <row r="21" spans="1:25" ht="13.5" thickBot="1" x14ac:dyDescent="0.25">
      <c r="A21" s="318" t="s">
        <v>30</v>
      </c>
      <c r="B21" s="319"/>
      <c r="C21" s="67">
        <v>0</v>
      </c>
      <c r="D21" s="68">
        <v>0</v>
      </c>
      <c r="E21" s="68">
        <v>0</v>
      </c>
      <c r="F21" s="69">
        <f>SUM(C21:E21)</f>
        <v>0</v>
      </c>
      <c r="G21" s="21"/>
      <c r="H21" s="70"/>
      <c r="I21" s="71"/>
      <c r="J21" s="71"/>
      <c r="K21" s="71"/>
      <c r="L21" s="72"/>
    </row>
    <row r="22" spans="1:25" ht="13.5" thickBot="1" x14ac:dyDescent="0.25">
      <c r="A22" s="9"/>
      <c r="B22" s="10"/>
      <c r="C22" s="268" t="s">
        <v>31</v>
      </c>
      <c r="D22" s="268"/>
      <c r="E22" s="268"/>
      <c r="F22" s="269"/>
      <c r="G22" s="21"/>
      <c r="H22" s="12" t="s">
        <v>15</v>
      </c>
      <c r="I22" s="13"/>
      <c r="J22" s="13"/>
      <c r="K22" s="14">
        <f t="shared" ref="K22:K41" si="3">SUM(I22:J22)</f>
        <v>0</v>
      </c>
      <c r="L22" s="15" t="s">
        <v>16</v>
      </c>
      <c r="N22" s="341" t="s">
        <v>70</v>
      </c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</row>
    <row r="23" spans="1:25" x14ac:dyDescent="0.2">
      <c r="A23" s="16" t="s">
        <v>17</v>
      </c>
      <c r="B23" s="17" t="s">
        <v>18</v>
      </c>
      <c r="C23" s="18"/>
      <c r="D23" s="19"/>
      <c r="E23" s="19"/>
      <c r="F23" s="20">
        <f>SUM(C23:E23)</f>
        <v>0</v>
      </c>
      <c r="G23" s="21"/>
      <c r="H23" s="22" t="s">
        <v>19</v>
      </c>
      <c r="I23" s="19"/>
      <c r="J23" s="19"/>
      <c r="K23" s="23">
        <f t="shared" si="3"/>
        <v>0</v>
      </c>
      <c r="L23" s="24" t="s">
        <v>16</v>
      </c>
      <c r="N23" s="169"/>
      <c r="O23" s="169"/>
      <c r="P23" s="169">
        <v>156</v>
      </c>
      <c r="Q23" s="169">
        <v>156</v>
      </c>
      <c r="R23" s="169">
        <v>156</v>
      </c>
      <c r="S23" s="169">
        <v>156</v>
      </c>
      <c r="T23" s="169">
        <v>566</v>
      </c>
      <c r="U23" s="169">
        <v>1082</v>
      </c>
      <c r="V23" s="169">
        <v>1145</v>
      </c>
      <c r="W23" s="169">
        <v>1316</v>
      </c>
      <c r="X23" s="169">
        <f>[1]Šaštín!X23+[1]Holíč!X23+'[1]Mor. Ján'!X23+[1]Lozorno!X23+[1]Sološnica!X23+[1]Benuš!X23</f>
        <v>0</v>
      </c>
      <c r="Y23" s="169">
        <f>[1]Šaštín!Y23+[1]Holíč!Y23+'[1]Mor. Ján'!Y23+[1]Lozorno!Y23+[1]Sološnica!Y23+[1]Benuš!Y23</f>
        <v>0</v>
      </c>
    </row>
    <row r="24" spans="1:25" ht="13.5" thickBot="1" x14ac:dyDescent="0.25">
      <c r="A24" s="16" t="s">
        <v>20</v>
      </c>
      <c r="B24" s="17" t="s">
        <v>18</v>
      </c>
      <c r="C24" s="18"/>
      <c r="D24" s="19"/>
      <c r="E24" s="19"/>
      <c r="F24" s="20">
        <f>SUM(C24:E24)</f>
        <v>0</v>
      </c>
      <c r="G24" s="21"/>
      <c r="H24" s="22" t="s">
        <v>21</v>
      </c>
      <c r="I24" s="19"/>
      <c r="J24" s="19"/>
      <c r="K24" s="23">
        <f t="shared" si="3"/>
        <v>0</v>
      </c>
      <c r="L24" s="24" t="s">
        <v>16</v>
      </c>
      <c r="N24" s="170"/>
      <c r="O24" s="170">
        <v>352</v>
      </c>
      <c r="P24" s="170">
        <v>406</v>
      </c>
      <c r="Q24" s="170">
        <v>885</v>
      </c>
      <c r="R24" s="170">
        <v>934</v>
      </c>
      <c r="S24" s="170">
        <v>964</v>
      </c>
      <c r="T24" s="170">
        <v>964</v>
      </c>
      <c r="U24" s="170">
        <v>967</v>
      </c>
      <c r="V24" s="170">
        <v>973</v>
      </c>
      <c r="W24" s="170">
        <v>1027</v>
      </c>
      <c r="X24" s="170">
        <f>[1]Šaštín!X24+[1]Holíč!X24+'[1]Mor. Ján'!X24+[1]Lozorno!X24+[1]Sološnica!X24</f>
        <v>0</v>
      </c>
      <c r="Y24" s="170">
        <f>[1]Šaštín!Y24+[1]Holíč!Y24+'[1]Mor. Ján'!Y24+[1]Lozorno!Y24+[1]Sološnica!Y24</f>
        <v>0</v>
      </c>
    </row>
    <row r="25" spans="1:25" ht="13.5" thickBot="1" x14ac:dyDescent="0.25">
      <c r="A25" s="289" t="s">
        <v>6</v>
      </c>
      <c r="B25" s="291" t="s">
        <v>22</v>
      </c>
      <c r="C25" s="293">
        <f>SUM(C23:C24)</f>
        <v>0</v>
      </c>
      <c r="D25" s="295">
        <f>SUM(D23:D24)</f>
        <v>0</v>
      </c>
      <c r="E25" s="295">
        <f>E24+E23</f>
        <v>0</v>
      </c>
      <c r="F25" s="297">
        <f>F24+F23</f>
        <v>0</v>
      </c>
      <c r="G25" s="25"/>
      <c r="H25" s="22" t="s">
        <v>23</v>
      </c>
      <c r="I25" s="23">
        <f>I26-I22-I23-I24</f>
        <v>0</v>
      </c>
      <c r="J25" s="23">
        <f>J26-J22-J23-J24</f>
        <v>0</v>
      </c>
      <c r="K25" s="23">
        <f t="shared" si="3"/>
        <v>0</v>
      </c>
      <c r="L25" s="27" t="s">
        <v>16</v>
      </c>
      <c r="N25" s="171">
        <f>N23+N24</f>
        <v>0</v>
      </c>
      <c r="O25" s="172">
        <f>O23+O24</f>
        <v>352</v>
      </c>
      <c r="P25" s="173">
        <f>SUM(P23:P24)</f>
        <v>562</v>
      </c>
      <c r="Q25" s="173">
        <f t="shared" ref="Q25:Y25" si="4">SUM(Q23:Q24)</f>
        <v>1041</v>
      </c>
      <c r="R25" s="173">
        <f t="shared" si="4"/>
        <v>1090</v>
      </c>
      <c r="S25" s="173">
        <f t="shared" si="4"/>
        <v>1120</v>
      </c>
      <c r="T25" s="173">
        <f t="shared" si="4"/>
        <v>1530</v>
      </c>
      <c r="U25" s="173">
        <f t="shared" si="4"/>
        <v>2049</v>
      </c>
      <c r="V25" s="173">
        <f t="shared" si="4"/>
        <v>2118</v>
      </c>
      <c r="W25" s="173">
        <f t="shared" si="4"/>
        <v>2343</v>
      </c>
      <c r="X25" s="173">
        <f t="shared" si="4"/>
        <v>0</v>
      </c>
      <c r="Y25" s="174">
        <f t="shared" si="4"/>
        <v>0</v>
      </c>
    </row>
    <row r="26" spans="1:25" ht="13.5" thickBot="1" x14ac:dyDescent="0.25">
      <c r="A26" s="290"/>
      <c r="B26" s="292"/>
      <c r="C26" s="294"/>
      <c r="D26" s="296"/>
      <c r="E26" s="296"/>
      <c r="F26" s="298"/>
      <c r="G26" s="25"/>
      <c r="H26" s="73" t="s">
        <v>24</v>
      </c>
      <c r="I26" s="74">
        <f>F23</f>
        <v>0</v>
      </c>
      <c r="J26" s="74">
        <f>F24</f>
        <v>0</v>
      </c>
      <c r="K26" s="74">
        <f t="shared" si="3"/>
        <v>0</v>
      </c>
      <c r="L26" s="75" t="s">
        <v>16</v>
      </c>
    </row>
    <row r="27" spans="1:25" ht="13.5" thickBot="1" x14ac:dyDescent="0.25">
      <c r="A27" s="9"/>
      <c r="B27" s="10"/>
      <c r="C27" s="268" t="s">
        <v>32</v>
      </c>
      <c r="D27" s="268"/>
      <c r="E27" s="268"/>
      <c r="F27" s="269"/>
      <c r="G27" s="21"/>
      <c r="H27" s="12" t="s">
        <v>15</v>
      </c>
      <c r="I27" s="13"/>
      <c r="J27" s="13"/>
      <c r="K27" s="14">
        <f t="shared" si="3"/>
        <v>0</v>
      </c>
      <c r="L27" s="15" t="s">
        <v>16</v>
      </c>
      <c r="N27" s="341" t="s">
        <v>71</v>
      </c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</row>
    <row r="28" spans="1:25" x14ac:dyDescent="0.2">
      <c r="A28" s="16" t="s">
        <v>17</v>
      </c>
      <c r="B28" s="17" t="s">
        <v>18</v>
      </c>
      <c r="C28" s="76">
        <v>0</v>
      </c>
      <c r="D28" s="19">
        <v>0</v>
      </c>
      <c r="E28" s="19">
        <v>0</v>
      </c>
      <c r="F28" s="20">
        <f>SUM(C28:E28)</f>
        <v>0</v>
      </c>
      <c r="G28" s="21"/>
      <c r="H28" s="22" t="s">
        <v>19</v>
      </c>
      <c r="I28" s="19"/>
      <c r="J28" s="19"/>
      <c r="K28" s="23">
        <f t="shared" si="3"/>
        <v>0</v>
      </c>
      <c r="L28" s="24" t="s">
        <v>16</v>
      </c>
      <c r="N28" s="169"/>
      <c r="O28" s="169"/>
      <c r="P28" s="169"/>
      <c r="Q28" s="169"/>
      <c r="R28" s="169"/>
      <c r="S28" s="169"/>
      <c r="T28" s="169"/>
      <c r="U28" s="169"/>
      <c r="V28" s="169"/>
      <c r="W28" s="169">
        <f>[1]Šaštín!W28+[1]Holíč!W28+'[1]Mor. Ján'!W28+[1]Lozorno!W28+[1]Sološnica!W28</f>
        <v>0</v>
      </c>
      <c r="X28" s="169">
        <f>[1]Šaštín!X28+[1]Holíč!X28+'[1]Mor. Ján'!X28+[1]Lozorno!X28+[1]Sološnica!X28</f>
        <v>0</v>
      </c>
      <c r="Y28" s="169">
        <f>[1]Šaštín!Y28+[1]Holíč!Y28+'[1]Mor. Ján'!Y28+[1]Lozorno!Y28+[1]Sološnica!Y28</f>
        <v>0</v>
      </c>
    </row>
    <row r="29" spans="1:25" ht="13.5" thickBot="1" x14ac:dyDescent="0.25">
      <c r="A29" s="16" t="s">
        <v>20</v>
      </c>
      <c r="B29" s="17" t="s">
        <v>18</v>
      </c>
      <c r="C29" s="76"/>
      <c r="D29" s="19">
        <v>0</v>
      </c>
      <c r="E29" s="19">
        <v>0</v>
      </c>
      <c r="F29" s="20">
        <f>SUM(C29:E29)</f>
        <v>0</v>
      </c>
      <c r="G29" s="21"/>
      <c r="H29" s="22" t="s">
        <v>21</v>
      </c>
      <c r="I29" s="19"/>
      <c r="J29" s="19"/>
      <c r="K29" s="23">
        <f t="shared" si="3"/>
        <v>0</v>
      </c>
      <c r="L29" s="24" t="s">
        <v>16</v>
      </c>
      <c r="N29" s="170"/>
      <c r="O29" s="170"/>
      <c r="P29" s="170"/>
      <c r="Q29" s="170"/>
      <c r="R29" s="170"/>
      <c r="S29" s="170"/>
      <c r="T29" s="170"/>
      <c r="U29" s="170"/>
      <c r="V29" s="170"/>
      <c r="W29" s="170">
        <f>[1]Šaštín!W29+[1]Holíč!W29+'[1]Mor. Ján'!W29+[1]Lozorno!W29+[1]Sološnica!W29</f>
        <v>0</v>
      </c>
      <c r="X29" s="170">
        <f>[1]Šaštín!X29+[1]Holíč!X29+'[1]Mor. Ján'!X29+[1]Lozorno!X29+[1]Sološnica!X29</f>
        <v>0</v>
      </c>
      <c r="Y29" s="170">
        <f>[1]Šaštín!Y29+[1]Holíč!Y29+'[1]Mor. Ján'!Y29+[1]Lozorno!Y29+[1]Sološnica!Y29</f>
        <v>0</v>
      </c>
    </row>
    <row r="30" spans="1:25" ht="13.5" thickBot="1" x14ac:dyDescent="0.25">
      <c r="A30" s="305" t="s">
        <v>6</v>
      </c>
      <c r="B30" s="307" t="s">
        <v>22</v>
      </c>
      <c r="C30" s="309">
        <f>SUM(C28:C29)</f>
        <v>0</v>
      </c>
      <c r="D30" s="311">
        <f>SUM(D28:D29)</f>
        <v>0</v>
      </c>
      <c r="E30" s="311">
        <f>SUM(E28:E29)</f>
        <v>0</v>
      </c>
      <c r="F30" s="313">
        <f>SUM(C30:E30)</f>
        <v>0</v>
      </c>
      <c r="G30" s="21"/>
      <c r="H30" s="22" t="s">
        <v>23</v>
      </c>
      <c r="I30" s="23">
        <f>I31-I27-I28-I29</f>
        <v>0</v>
      </c>
      <c r="J30" s="23">
        <f>J31-J27-J28-J29</f>
        <v>0</v>
      </c>
      <c r="K30" s="23">
        <f t="shared" si="3"/>
        <v>0</v>
      </c>
      <c r="L30" s="27" t="s">
        <v>16</v>
      </c>
      <c r="N30" s="171">
        <f>N28+N29</f>
        <v>0</v>
      </c>
      <c r="O30" s="172">
        <f>O28+O29</f>
        <v>0</v>
      </c>
      <c r="P30" s="173">
        <f>SUM(P28:P29)</f>
        <v>0</v>
      </c>
      <c r="Q30" s="173">
        <f t="shared" ref="Q30:Y30" si="5">SUM(Q28:Q29)</f>
        <v>0</v>
      </c>
      <c r="R30" s="173">
        <f t="shared" si="5"/>
        <v>0</v>
      </c>
      <c r="S30" s="173">
        <f t="shared" si="5"/>
        <v>0</v>
      </c>
      <c r="T30" s="173">
        <f t="shared" si="5"/>
        <v>0</v>
      </c>
      <c r="U30" s="173">
        <f t="shared" si="5"/>
        <v>0</v>
      </c>
      <c r="V30" s="173">
        <f t="shared" si="5"/>
        <v>0</v>
      </c>
      <c r="W30" s="173">
        <f t="shared" si="5"/>
        <v>0</v>
      </c>
      <c r="X30" s="173">
        <f t="shared" si="5"/>
        <v>0</v>
      </c>
      <c r="Y30" s="174">
        <f t="shared" si="5"/>
        <v>0</v>
      </c>
    </row>
    <row r="31" spans="1:25" ht="13.5" thickBot="1" x14ac:dyDescent="0.25">
      <c r="A31" s="306"/>
      <c r="B31" s="308"/>
      <c r="C31" s="310"/>
      <c r="D31" s="312"/>
      <c r="E31" s="312"/>
      <c r="F31" s="314"/>
      <c r="G31" s="21"/>
      <c r="H31" s="73" t="s">
        <v>24</v>
      </c>
      <c r="I31" s="74">
        <f>F28</f>
        <v>0</v>
      </c>
      <c r="J31" s="74">
        <f>F29</f>
        <v>0</v>
      </c>
      <c r="K31" s="74">
        <f t="shared" si="3"/>
        <v>0</v>
      </c>
      <c r="L31" s="75" t="s">
        <v>16</v>
      </c>
    </row>
    <row r="32" spans="1:25" ht="15.75" thickBot="1" x14ac:dyDescent="0.3">
      <c r="A32" s="9"/>
      <c r="B32" s="10"/>
      <c r="C32" s="268" t="s">
        <v>33</v>
      </c>
      <c r="D32" s="268"/>
      <c r="E32" s="268"/>
      <c r="F32" s="269"/>
      <c r="G32" s="21"/>
      <c r="H32" s="12" t="s">
        <v>15</v>
      </c>
      <c r="I32" s="14">
        <f t="shared" ref="I32:J34" si="6">SUM(I4,I10,I22,I27)</f>
        <v>919</v>
      </c>
      <c r="J32" s="14">
        <f t="shared" si="6"/>
        <v>2840</v>
      </c>
      <c r="K32" s="14">
        <f>SUM(I32:J32)</f>
        <v>3759</v>
      </c>
      <c r="L32" s="15" t="s">
        <v>16</v>
      </c>
      <c r="N32" s="343" t="s">
        <v>72</v>
      </c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</row>
    <row r="33" spans="1:25" x14ac:dyDescent="0.2">
      <c r="A33" s="77" t="s">
        <v>17</v>
      </c>
      <c r="B33" s="78" t="s">
        <v>18</v>
      </c>
      <c r="C33" s="79">
        <f t="shared" ref="C33:E34" si="7">SUM(C5,C10,C23,C28)</f>
        <v>1273</v>
      </c>
      <c r="D33" s="23">
        <f t="shared" si="7"/>
        <v>0</v>
      </c>
      <c r="E33" s="23">
        <f t="shared" si="7"/>
        <v>405</v>
      </c>
      <c r="F33" s="20">
        <f>SUM(C33:E33)</f>
        <v>1678</v>
      </c>
      <c r="G33" s="21"/>
      <c r="H33" s="22" t="s">
        <v>19</v>
      </c>
      <c r="I33" s="23">
        <f t="shared" si="6"/>
        <v>354</v>
      </c>
      <c r="J33" s="23">
        <f t="shared" si="6"/>
        <v>4652</v>
      </c>
      <c r="K33" s="23">
        <f t="shared" si="3"/>
        <v>5006</v>
      </c>
      <c r="L33" s="24" t="s">
        <v>16</v>
      </c>
      <c r="M33" s="165"/>
      <c r="N33" s="175">
        <f>N5+N10+N23+N28</f>
        <v>194</v>
      </c>
      <c r="O33" s="175">
        <f t="shared" ref="O33:Y34" si="8">O5+O10+O23+O28</f>
        <v>441</v>
      </c>
      <c r="P33" s="175">
        <f t="shared" si="8"/>
        <v>597</v>
      </c>
      <c r="Q33" s="175">
        <f t="shared" si="8"/>
        <v>618</v>
      </c>
      <c r="R33" s="175">
        <f t="shared" si="8"/>
        <v>618</v>
      </c>
      <c r="S33" s="175">
        <f t="shared" si="8"/>
        <v>618</v>
      </c>
      <c r="T33" s="175">
        <f t="shared" si="8"/>
        <v>1041</v>
      </c>
      <c r="U33" s="175">
        <f t="shared" si="8"/>
        <v>1557</v>
      </c>
      <c r="V33" s="175">
        <f t="shared" si="8"/>
        <v>1620</v>
      </c>
      <c r="W33" s="175">
        <f t="shared" si="8"/>
        <v>1890</v>
      </c>
      <c r="X33" s="175">
        <f t="shared" si="8"/>
        <v>0</v>
      </c>
      <c r="Y33" s="175">
        <f t="shared" si="8"/>
        <v>0</v>
      </c>
    </row>
    <row r="34" spans="1:25" x14ac:dyDescent="0.2">
      <c r="A34" s="77" t="s">
        <v>20</v>
      </c>
      <c r="B34" s="78" t="s">
        <v>18</v>
      </c>
      <c r="C34" s="79">
        <f t="shared" si="7"/>
        <v>15958</v>
      </c>
      <c r="D34" s="23">
        <f t="shared" si="7"/>
        <v>0</v>
      </c>
      <c r="E34" s="23">
        <f t="shared" si="7"/>
        <v>301</v>
      </c>
      <c r="F34" s="20">
        <f>SUM(C34:E34)</f>
        <v>16259</v>
      </c>
      <c r="G34" s="21"/>
      <c r="H34" s="22" t="s">
        <v>21</v>
      </c>
      <c r="I34" s="23">
        <f t="shared" si="6"/>
        <v>405</v>
      </c>
      <c r="J34" s="23">
        <f t="shared" si="6"/>
        <v>3248</v>
      </c>
      <c r="K34" s="23">
        <f t="shared" si="3"/>
        <v>3653</v>
      </c>
      <c r="L34" s="24" t="s">
        <v>16</v>
      </c>
      <c r="M34" s="165"/>
      <c r="N34" s="176">
        <f>N6+N11+N24+N29</f>
        <v>585</v>
      </c>
      <c r="O34" s="176">
        <f t="shared" si="8"/>
        <v>2182</v>
      </c>
      <c r="P34" s="176">
        <f t="shared" si="8"/>
        <v>3445</v>
      </c>
      <c r="Q34" s="176">
        <f t="shared" si="8"/>
        <v>5407</v>
      </c>
      <c r="R34" s="176">
        <f t="shared" si="8"/>
        <v>6213</v>
      </c>
      <c r="S34" s="176">
        <f t="shared" si="8"/>
        <v>7425</v>
      </c>
      <c r="T34" s="176">
        <f t="shared" si="8"/>
        <v>8578</v>
      </c>
      <c r="U34" s="176">
        <f t="shared" si="8"/>
        <v>10136</v>
      </c>
      <c r="V34" s="176">
        <f t="shared" si="8"/>
        <v>11389</v>
      </c>
      <c r="W34" s="176">
        <f t="shared" si="8"/>
        <v>13626</v>
      </c>
      <c r="X34" s="176">
        <f t="shared" si="8"/>
        <v>0</v>
      </c>
      <c r="Y34" s="176">
        <f t="shared" si="8"/>
        <v>0</v>
      </c>
    </row>
    <row r="35" spans="1:25" ht="13.5" thickBot="1" x14ac:dyDescent="0.25">
      <c r="A35" s="289" t="s">
        <v>6</v>
      </c>
      <c r="B35" s="291" t="s">
        <v>22</v>
      </c>
      <c r="C35" s="293">
        <f>SUM(C33:C34)</f>
        <v>17231</v>
      </c>
      <c r="D35" s="295">
        <f>SUM(D33:D34)</f>
        <v>0</v>
      </c>
      <c r="E35" s="295">
        <f>SUM(E33:E34)</f>
        <v>706</v>
      </c>
      <c r="F35" s="297">
        <f>SUM(C35:E35)</f>
        <v>17937</v>
      </c>
      <c r="G35" s="25"/>
      <c r="H35" s="22" t="s">
        <v>23</v>
      </c>
      <c r="I35" s="23">
        <f t="shared" ref="I35" si="9">SUM(I7,I13,I25,I31)</f>
        <v>0</v>
      </c>
      <c r="J35" s="23">
        <f>SUM(J7,J13,J25,J30)</f>
        <v>5519</v>
      </c>
      <c r="K35" s="23">
        <f t="shared" si="3"/>
        <v>5519</v>
      </c>
      <c r="L35" s="27" t="s">
        <v>16</v>
      </c>
      <c r="M35" s="165"/>
      <c r="N35" s="177">
        <f>N33+N34</f>
        <v>779</v>
      </c>
      <c r="O35" s="177">
        <f t="shared" ref="O35:Y35" si="10">O33+O34</f>
        <v>2623</v>
      </c>
      <c r="P35" s="177">
        <f t="shared" si="10"/>
        <v>4042</v>
      </c>
      <c r="Q35" s="177">
        <f t="shared" si="10"/>
        <v>6025</v>
      </c>
      <c r="R35" s="177">
        <f t="shared" si="10"/>
        <v>6831</v>
      </c>
      <c r="S35" s="177">
        <f t="shared" si="10"/>
        <v>8043</v>
      </c>
      <c r="T35" s="177">
        <f t="shared" si="10"/>
        <v>9619</v>
      </c>
      <c r="U35" s="177">
        <f t="shared" si="10"/>
        <v>11693</v>
      </c>
      <c r="V35" s="177">
        <f t="shared" si="10"/>
        <v>13009</v>
      </c>
      <c r="W35" s="177">
        <f t="shared" si="10"/>
        <v>15516</v>
      </c>
      <c r="X35" s="177">
        <f t="shared" si="10"/>
        <v>0</v>
      </c>
      <c r="Y35" s="177">
        <f t="shared" si="10"/>
        <v>0</v>
      </c>
    </row>
    <row r="36" spans="1:25" ht="13.5" thickBot="1" x14ac:dyDescent="0.25">
      <c r="A36" s="290"/>
      <c r="B36" s="292"/>
      <c r="C36" s="294"/>
      <c r="D36" s="296"/>
      <c r="E36" s="296"/>
      <c r="F36" s="298"/>
      <c r="G36" s="25"/>
      <c r="H36" s="73" t="s">
        <v>24</v>
      </c>
      <c r="I36" s="74">
        <f>SUM(I32:I35)</f>
        <v>1678</v>
      </c>
      <c r="J36" s="74">
        <f>SUM(J32:J35)</f>
        <v>16259</v>
      </c>
      <c r="K36" s="74">
        <f t="shared" si="3"/>
        <v>17937</v>
      </c>
      <c r="L36" s="75" t="s">
        <v>16</v>
      </c>
    </row>
    <row r="37" spans="1:25" ht="13.5" thickBot="1" x14ac:dyDescent="0.25">
      <c r="A37" s="9"/>
      <c r="B37" s="10"/>
      <c r="C37" s="268" t="s">
        <v>34</v>
      </c>
      <c r="D37" s="268"/>
      <c r="E37" s="268"/>
      <c r="F37" s="269"/>
      <c r="G37" s="21"/>
      <c r="H37" s="12" t="s">
        <v>15</v>
      </c>
      <c r="I37" s="13"/>
      <c r="J37" s="13"/>
      <c r="K37" s="14">
        <f t="shared" si="3"/>
        <v>0</v>
      </c>
      <c r="L37" s="15" t="s">
        <v>16</v>
      </c>
      <c r="N37" s="341" t="s">
        <v>73</v>
      </c>
      <c r="O37" s="341"/>
      <c r="P37" s="341"/>
      <c r="Q37" s="341"/>
      <c r="R37" s="341"/>
      <c r="S37" s="341"/>
      <c r="T37" s="341"/>
      <c r="U37" s="341"/>
      <c r="V37" s="341"/>
      <c r="W37" s="341"/>
      <c r="X37" s="341"/>
      <c r="Y37" s="341"/>
    </row>
    <row r="38" spans="1:25" x14ac:dyDescent="0.2">
      <c r="A38" s="16" t="s">
        <v>17</v>
      </c>
      <c r="B38" s="17" t="s">
        <v>18</v>
      </c>
      <c r="C38" s="18"/>
      <c r="D38" s="19">
        <v>0</v>
      </c>
      <c r="E38" s="19">
        <v>0</v>
      </c>
      <c r="F38" s="20">
        <f>SUM(C38:E38)</f>
        <v>0</v>
      </c>
      <c r="G38" s="21"/>
      <c r="H38" s="22" t="s">
        <v>19</v>
      </c>
      <c r="I38" s="19"/>
      <c r="J38" s="19"/>
      <c r="K38" s="23">
        <f t="shared" si="3"/>
        <v>0</v>
      </c>
      <c r="L38" s="24" t="s">
        <v>16</v>
      </c>
      <c r="N38" s="169"/>
      <c r="O38" s="169"/>
      <c r="P38" s="169"/>
      <c r="Q38" s="169"/>
      <c r="R38" s="169"/>
      <c r="S38" s="169"/>
      <c r="T38" s="169">
        <v>13</v>
      </c>
      <c r="U38" s="169">
        <v>13</v>
      </c>
      <c r="V38" s="169">
        <v>13</v>
      </c>
      <c r="W38" s="169">
        <v>13</v>
      </c>
      <c r="X38" s="169">
        <f>[1]Šaštín!X38+[1]Holíč!X38+'[1]Mor. Ján'!X38+[1]Lozorno!X38+[1]Sološnica!X38</f>
        <v>0</v>
      </c>
      <c r="Y38" s="169">
        <f>[1]Šaštín!Y38+[1]Holíč!Y38+'[1]Mor. Ján'!Y38+[1]Lozorno!Y38+[1]Sološnica!Y38</f>
        <v>0</v>
      </c>
    </row>
    <row r="39" spans="1:25" ht="13.5" thickBot="1" x14ac:dyDescent="0.25">
      <c r="A39" s="16" t="s">
        <v>20</v>
      </c>
      <c r="B39" s="17" t="s">
        <v>18</v>
      </c>
      <c r="C39" s="18"/>
      <c r="D39" s="19">
        <v>0</v>
      </c>
      <c r="E39" s="19">
        <v>0</v>
      </c>
      <c r="F39" s="20">
        <f>SUM(C39:E39)</f>
        <v>0</v>
      </c>
      <c r="G39" s="21"/>
      <c r="H39" s="22" t="s">
        <v>21</v>
      </c>
      <c r="I39" s="19"/>
      <c r="J39" s="19"/>
      <c r="K39" s="23">
        <f t="shared" si="3"/>
        <v>0</v>
      </c>
      <c r="L39" s="24" t="s">
        <v>16</v>
      </c>
      <c r="N39" s="170"/>
      <c r="O39" s="170"/>
      <c r="P39" s="170">
        <v>15</v>
      </c>
      <c r="Q39" s="170">
        <v>78</v>
      </c>
      <c r="R39" s="170">
        <v>184</v>
      </c>
      <c r="S39" s="170">
        <v>312</v>
      </c>
      <c r="T39" s="170">
        <v>383</v>
      </c>
      <c r="U39" s="170">
        <v>424</v>
      </c>
      <c r="V39" s="170">
        <v>456</v>
      </c>
      <c r="W39" s="170">
        <v>521</v>
      </c>
      <c r="X39" s="170">
        <f>[1]Šaštín!X39+[1]Holíč!X39+'[1]Mor. Ján'!X39+[1]Lozorno!X39+[1]Sološnica!X39</f>
        <v>0</v>
      </c>
      <c r="Y39" s="170">
        <f>[1]Šaštín!Y39+[1]Holíč!Y39+'[1]Mor. Ján'!Y39+[1]Lozorno!Y39+[1]Sološnica!Y39</f>
        <v>0</v>
      </c>
    </row>
    <row r="40" spans="1:25" ht="13.5" thickBot="1" x14ac:dyDescent="0.25">
      <c r="A40" s="289" t="s">
        <v>6</v>
      </c>
      <c r="B40" s="291" t="s">
        <v>22</v>
      </c>
      <c r="C40" s="293">
        <f>SUM(C38:C39)</f>
        <v>0</v>
      </c>
      <c r="D40" s="295">
        <f>SUM(D38:D39)</f>
        <v>0</v>
      </c>
      <c r="E40" s="295">
        <f>SUM(E38:E39)</f>
        <v>0</v>
      </c>
      <c r="F40" s="297">
        <f>SUM(C40:E40)</f>
        <v>0</v>
      </c>
      <c r="G40" s="25"/>
      <c r="H40" s="22" t="s">
        <v>23</v>
      </c>
      <c r="I40" s="23">
        <f>I41-I37-I38-I39</f>
        <v>0</v>
      </c>
      <c r="J40" s="23">
        <f>J41-J37-J38-J39</f>
        <v>0</v>
      </c>
      <c r="K40" s="23">
        <f t="shared" si="3"/>
        <v>0</v>
      </c>
      <c r="L40" s="27" t="s">
        <v>16</v>
      </c>
      <c r="N40" s="171">
        <f>N38+N39</f>
        <v>0</v>
      </c>
      <c r="O40" s="172">
        <f>O38+O39</f>
        <v>0</v>
      </c>
      <c r="P40" s="173">
        <f>SUM(P38:P39)</f>
        <v>15</v>
      </c>
      <c r="Q40" s="173">
        <f t="shared" ref="Q40:Y40" si="11">SUM(Q38:Q39)</f>
        <v>78</v>
      </c>
      <c r="R40" s="173">
        <f t="shared" si="11"/>
        <v>184</v>
      </c>
      <c r="S40" s="173">
        <f t="shared" si="11"/>
        <v>312</v>
      </c>
      <c r="T40" s="173">
        <f t="shared" si="11"/>
        <v>396</v>
      </c>
      <c r="U40" s="173">
        <f t="shared" si="11"/>
        <v>437</v>
      </c>
      <c r="V40" s="173">
        <f t="shared" si="11"/>
        <v>469</v>
      </c>
      <c r="W40" s="173">
        <f t="shared" si="11"/>
        <v>534</v>
      </c>
      <c r="X40" s="173">
        <f t="shared" si="11"/>
        <v>0</v>
      </c>
      <c r="Y40" s="174">
        <f t="shared" si="11"/>
        <v>0</v>
      </c>
    </row>
    <row r="41" spans="1:25" ht="13.5" thickBot="1" x14ac:dyDescent="0.25">
      <c r="A41" s="290"/>
      <c r="B41" s="292"/>
      <c r="C41" s="294"/>
      <c r="D41" s="296"/>
      <c r="E41" s="296"/>
      <c r="F41" s="298"/>
      <c r="G41" s="25"/>
      <c r="H41" s="73" t="s">
        <v>24</v>
      </c>
      <c r="I41" s="74">
        <f>F38+C43</f>
        <v>0</v>
      </c>
      <c r="J41" s="74">
        <f>F39+C44</f>
        <v>0</v>
      </c>
      <c r="K41" s="74">
        <f t="shared" si="3"/>
        <v>0</v>
      </c>
      <c r="L41" s="75" t="s">
        <v>16</v>
      </c>
    </row>
    <row r="42" spans="1:25" ht="13.5" thickBot="1" x14ac:dyDescent="0.25">
      <c r="A42" s="9"/>
      <c r="B42" s="10"/>
      <c r="C42" s="268" t="s">
        <v>35</v>
      </c>
      <c r="D42" s="268"/>
      <c r="E42" s="268"/>
      <c r="F42" s="269"/>
      <c r="G42" s="21"/>
      <c r="H42" s="80"/>
      <c r="I42" s="81"/>
      <c r="J42" s="81"/>
      <c r="K42" s="82"/>
      <c r="L42" s="82"/>
    </row>
    <row r="43" spans="1:25" ht="18" thickBot="1" x14ac:dyDescent="0.3">
      <c r="A43" s="16" t="s">
        <v>17</v>
      </c>
      <c r="B43" s="17" t="s">
        <v>18</v>
      </c>
      <c r="C43" s="18"/>
      <c r="D43" s="19">
        <v>0</v>
      </c>
      <c r="E43" s="19">
        <v>0</v>
      </c>
      <c r="F43" s="20">
        <f t="shared" ref="F43:F48" si="12">SUM(C43:E43)</f>
        <v>0</v>
      </c>
      <c r="G43" s="21"/>
      <c r="H43" s="285" t="s">
        <v>36</v>
      </c>
      <c r="I43" s="268"/>
      <c r="J43" s="268"/>
      <c r="K43" s="268"/>
      <c r="L43" s="269"/>
      <c r="N43" s="343" t="s">
        <v>74</v>
      </c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</row>
    <row r="44" spans="1:25" x14ac:dyDescent="0.2">
      <c r="A44" s="16" t="s">
        <v>20</v>
      </c>
      <c r="B44" s="17" t="s">
        <v>18</v>
      </c>
      <c r="C44" s="18"/>
      <c r="D44" s="19">
        <v>0</v>
      </c>
      <c r="E44" s="19">
        <v>0</v>
      </c>
      <c r="F44" s="20">
        <f t="shared" si="12"/>
        <v>0</v>
      </c>
      <c r="G44" s="21"/>
      <c r="H44" s="22" t="s">
        <v>15</v>
      </c>
      <c r="I44" s="23">
        <f>I32-I37</f>
        <v>919</v>
      </c>
      <c r="J44" s="23">
        <f t="shared" ref="I44:J46" si="13">J32-J37</f>
        <v>2840</v>
      </c>
      <c r="K44" s="23">
        <f>SUM(I44:J44)</f>
        <v>3759</v>
      </c>
      <c r="L44" s="83" t="s">
        <v>16</v>
      </c>
      <c r="N44" s="175">
        <f>N33-N38</f>
        <v>194</v>
      </c>
      <c r="O44" s="175">
        <f t="shared" ref="O44:Y44" si="14">O33-O38</f>
        <v>441</v>
      </c>
      <c r="P44" s="175">
        <f t="shared" si="14"/>
        <v>597</v>
      </c>
      <c r="Q44" s="175">
        <f t="shared" si="14"/>
        <v>618</v>
      </c>
      <c r="R44" s="175">
        <f t="shared" si="14"/>
        <v>618</v>
      </c>
      <c r="S44" s="175">
        <f t="shared" si="14"/>
        <v>618</v>
      </c>
      <c r="T44" s="175">
        <f t="shared" si="14"/>
        <v>1028</v>
      </c>
      <c r="U44" s="175">
        <f t="shared" si="14"/>
        <v>1544</v>
      </c>
      <c r="V44" s="175">
        <f t="shared" si="14"/>
        <v>1607</v>
      </c>
      <c r="W44" s="175">
        <f t="shared" si="14"/>
        <v>1877</v>
      </c>
      <c r="X44" s="175">
        <f t="shared" si="14"/>
        <v>0</v>
      </c>
      <c r="Y44" s="175">
        <f t="shared" si="14"/>
        <v>0</v>
      </c>
    </row>
    <row r="45" spans="1:25" ht="13.5" thickBot="1" x14ac:dyDescent="0.25">
      <c r="A45" s="84" t="s">
        <v>6</v>
      </c>
      <c r="B45" s="85" t="s">
        <v>22</v>
      </c>
      <c r="C45" s="86">
        <f>SUM(C43:C44)</f>
        <v>0</v>
      </c>
      <c r="D45" s="74">
        <f>SUM(D43:D44)</f>
        <v>0</v>
      </c>
      <c r="E45" s="74">
        <f>SUM(E43:E44)</f>
        <v>0</v>
      </c>
      <c r="F45" s="69">
        <f t="shared" si="12"/>
        <v>0</v>
      </c>
      <c r="G45" s="21"/>
      <c r="H45" s="22" t="s">
        <v>19</v>
      </c>
      <c r="I45" s="23">
        <f t="shared" si="13"/>
        <v>354</v>
      </c>
      <c r="J45" s="23">
        <f t="shared" si="13"/>
        <v>4652</v>
      </c>
      <c r="K45" s="23">
        <f>SUM(I45:J45)</f>
        <v>5006</v>
      </c>
      <c r="L45" s="27" t="s">
        <v>16</v>
      </c>
      <c r="N45" s="176">
        <f>N34-N39</f>
        <v>585</v>
      </c>
      <c r="O45" s="176">
        <f t="shared" ref="O45:Y45" si="15">O34-O39</f>
        <v>2182</v>
      </c>
      <c r="P45" s="176">
        <f>P34-P39</f>
        <v>3430</v>
      </c>
      <c r="Q45" s="176">
        <f t="shared" si="15"/>
        <v>5329</v>
      </c>
      <c r="R45" s="176">
        <f t="shared" si="15"/>
        <v>6029</v>
      </c>
      <c r="S45" s="176">
        <f t="shared" si="15"/>
        <v>7113</v>
      </c>
      <c r="T45" s="176">
        <f t="shared" si="15"/>
        <v>8195</v>
      </c>
      <c r="U45" s="176">
        <f t="shared" si="15"/>
        <v>9712</v>
      </c>
      <c r="V45" s="176">
        <f t="shared" si="15"/>
        <v>10933</v>
      </c>
      <c r="W45" s="176">
        <f t="shared" si="15"/>
        <v>13105</v>
      </c>
      <c r="X45" s="176">
        <f t="shared" si="15"/>
        <v>0</v>
      </c>
      <c r="Y45" s="176">
        <f t="shared" si="15"/>
        <v>0</v>
      </c>
    </row>
    <row r="46" spans="1:25" ht="13.5" thickBot="1" x14ac:dyDescent="0.25">
      <c r="A46" s="87" t="s">
        <v>37</v>
      </c>
      <c r="B46" s="88" t="s">
        <v>13</v>
      </c>
      <c r="C46" s="89">
        <v>27.87</v>
      </c>
      <c r="D46" s="13">
        <v>4.7</v>
      </c>
      <c r="E46" s="13"/>
      <c r="F46" s="90">
        <f t="shared" si="12"/>
        <v>32.57</v>
      </c>
      <c r="G46" s="21"/>
      <c r="H46" s="22" t="s">
        <v>21</v>
      </c>
      <c r="I46" s="23">
        <f t="shared" si="13"/>
        <v>405</v>
      </c>
      <c r="J46" s="23">
        <f>J34-J39</f>
        <v>3248</v>
      </c>
      <c r="K46" s="23">
        <f>SUM(I46:J46)</f>
        <v>3653</v>
      </c>
      <c r="L46" s="27" t="s">
        <v>16</v>
      </c>
      <c r="N46" s="177">
        <f>N44+N45</f>
        <v>779</v>
      </c>
      <c r="O46" s="177">
        <f t="shared" ref="O46:Y46" si="16">O44+O45</f>
        <v>2623</v>
      </c>
      <c r="P46" s="177">
        <f t="shared" si="16"/>
        <v>4027</v>
      </c>
      <c r="Q46" s="177">
        <f t="shared" si="16"/>
        <v>5947</v>
      </c>
      <c r="R46" s="177">
        <f t="shared" si="16"/>
        <v>6647</v>
      </c>
      <c r="S46" s="177">
        <f t="shared" si="16"/>
        <v>7731</v>
      </c>
      <c r="T46" s="177">
        <f t="shared" si="16"/>
        <v>9223</v>
      </c>
      <c r="U46" s="177">
        <f t="shared" si="16"/>
        <v>11256</v>
      </c>
      <c r="V46" s="177">
        <f t="shared" si="16"/>
        <v>12540</v>
      </c>
      <c r="W46" s="177">
        <f t="shared" si="16"/>
        <v>14982</v>
      </c>
      <c r="X46" s="177">
        <f t="shared" si="16"/>
        <v>0</v>
      </c>
      <c r="Y46" s="177">
        <f t="shared" si="16"/>
        <v>0</v>
      </c>
    </row>
    <row r="47" spans="1:25" x14ac:dyDescent="0.2">
      <c r="A47" s="91" t="s">
        <v>38</v>
      </c>
      <c r="B47" s="92" t="s">
        <v>13</v>
      </c>
      <c r="C47" s="18">
        <v>5.21</v>
      </c>
      <c r="D47" s="19">
        <v>2.96</v>
      </c>
      <c r="E47" s="19"/>
      <c r="F47" s="20">
        <f t="shared" si="12"/>
        <v>8.17</v>
      </c>
      <c r="G47" s="21"/>
      <c r="H47" s="22" t="s">
        <v>23</v>
      </c>
      <c r="I47" s="23">
        <f>I48-I44-I45-I46</f>
        <v>0</v>
      </c>
      <c r="J47" s="23">
        <f>J48-J44-J45-J46</f>
        <v>5519</v>
      </c>
      <c r="K47" s="23">
        <f>SUM(I47:J47)</f>
        <v>5519</v>
      </c>
      <c r="L47" s="27" t="s">
        <v>16</v>
      </c>
    </row>
    <row r="48" spans="1:25" ht="13.5" thickBot="1" x14ac:dyDescent="0.25">
      <c r="A48" s="93" t="s">
        <v>39</v>
      </c>
      <c r="B48" s="94" t="s">
        <v>13</v>
      </c>
      <c r="C48" s="67">
        <v>148.35</v>
      </c>
      <c r="D48" s="68"/>
      <c r="E48" s="68"/>
      <c r="F48" s="69">
        <f t="shared" si="12"/>
        <v>148.35</v>
      </c>
      <c r="G48" s="21"/>
      <c r="H48" s="73" t="s">
        <v>24</v>
      </c>
      <c r="I48" s="74">
        <f>I36-I41</f>
        <v>1678</v>
      </c>
      <c r="J48" s="74">
        <f>J36-J41</f>
        <v>16259</v>
      </c>
      <c r="K48" s="74">
        <f>SUM(I48:J48)</f>
        <v>17937</v>
      </c>
      <c r="L48" s="75" t="s">
        <v>16</v>
      </c>
    </row>
    <row r="49" spans="1:25" ht="15.75" thickBot="1" x14ac:dyDescent="0.3">
      <c r="A49" s="361" t="s">
        <v>100</v>
      </c>
      <c r="B49" s="361"/>
      <c r="C49" s="361"/>
      <c r="D49" s="361"/>
      <c r="E49" s="361"/>
      <c r="F49" s="361"/>
      <c r="G49" s="81"/>
      <c r="H49" s="80"/>
      <c r="I49" s="81"/>
      <c r="J49" s="81"/>
      <c r="K49" s="82"/>
      <c r="L49" s="82"/>
      <c r="N49" s="342" t="s">
        <v>75</v>
      </c>
      <c r="O49" s="342"/>
      <c r="P49" s="342"/>
      <c r="Q49" s="342"/>
      <c r="R49" s="342"/>
      <c r="S49" s="342"/>
      <c r="T49" s="342"/>
      <c r="U49" s="342"/>
      <c r="V49" s="342"/>
      <c r="W49" s="342"/>
      <c r="X49" s="342"/>
      <c r="Y49" s="342"/>
    </row>
    <row r="50" spans="1:25" x14ac:dyDescent="0.2">
      <c r="A50" s="9"/>
      <c r="B50" s="10"/>
      <c r="C50" s="268" t="s">
        <v>14</v>
      </c>
      <c r="D50" s="268"/>
      <c r="E50" s="268"/>
      <c r="F50" s="269"/>
      <c r="G50" s="95"/>
      <c r="H50" s="96" t="s">
        <v>40</v>
      </c>
      <c r="I50" s="286" t="s">
        <v>41</v>
      </c>
      <c r="J50" s="286"/>
      <c r="K50" s="287" t="s">
        <v>42</v>
      </c>
      <c r="L50" s="288"/>
      <c r="N50" s="232">
        <f>N44/((I44)*1/3)</f>
        <v>0.63329706202393909</v>
      </c>
      <c r="O50" s="232">
        <f>O44/((I44)*2/3)</f>
        <v>0.71980413492927098</v>
      </c>
      <c r="P50" s="232">
        <f>P44/((I44)*3/3)</f>
        <v>0.64961915125136016</v>
      </c>
      <c r="Q50" s="232">
        <f>Q44/((I44+I45)*4/6)</f>
        <v>0.72820109976433622</v>
      </c>
      <c r="R50" s="232">
        <f>R44/((I44+I45)*5/6)</f>
        <v>0.58256087981146898</v>
      </c>
      <c r="S50" s="232">
        <f>S44/((I44+I45)*6/6)</f>
        <v>0.48546739984289083</v>
      </c>
      <c r="T50" s="232">
        <f>T44/(I44+I45+(I46*1/3))</f>
        <v>0.73011363636363635</v>
      </c>
      <c r="U50" s="232">
        <f>U44/(I44+I45+(I46*2/3))</f>
        <v>1.0006480881399871</v>
      </c>
      <c r="V50" s="232">
        <f>V44/(I44+I45+(I46*3/3))</f>
        <v>0.95768772348033371</v>
      </c>
      <c r="W50" s="232">
        <f>W44/(I44+I45+I46+(I47*1/3))</f>
        <v>1.1185935637663886</v>
      </c>
      <c r="X50" s="175"/>
      <c r="Y50" s="175"/>
    </row>
    <row r="51" spans="1:25" ht="14.25" x14ac:dyDescent="0.2">
      <c r="A51" s="16" t="s">
        <v>17</v>
      </c>
      <c r="B51" s="92" t="s">
        <v>43</v>
      </c>
      <c r="C51" s="180">
        <v>1273</v>
      </c>
      <c r="D51" s="180"/>
      <c r="E51" s="180">
        <v>405</v>
      </c>
      <c r="F51" s="181">
        <f>SUM(C51:E51)</f>
        <v>1678</v>
      </c>
      <c r="G51" s="95"/>
      <c r="H51" s="22" t="s">
        <v>15</v>
      </c>
      <c r="I51" s="353">
        <v>4.78</v>
      </c>
      <c r="J51" s="356"/>
      <c r="K51" s="353">
        <v>0.26</v>
      </c>
      <c r="L51" s="355"/>
      <c r="N51" s="233">
        <f>N45/((J44)*1/3)</f>
        <v>0.61795774647887325</v>
      </c>
      <c r="O51" s="233">
        <f>O45/((J44)*2/3)</f>
        <v>1.1524647887323944</v>
      </c>
      <c r="P51" s="233">
        <f>P45/((J44)*3/3)</f>
        <v>1.2077464788732395</v>
      </c>
      <c r="Q51" s="233">
        <f>Q45/((J44+J45)*4/6)</f>
        <v>1.0669380672717566</v>
      </c>
      <c r="R51" s="233">
        <f>R45/((J44+J45)*5/6)</f>
        <v>0.96567004805125467</v>
      </c>
      <c r="S51" s="233">
        <f>S45/((J44+J45)*6/6)</f>
        <v>0.94941270688734647</v>
      </c>
      <c r="T51" s="233">
        <f>T45/(J44+J45+(J46*1/3))</f>
        <v>0.95572228269320481</v>
      </c>
      <c r="U51" s="233">
        <f>U45/(J44+J45+(J46*2/3))</f>
        <v>1.0056606378572415</v>
      </c>
      <c r="V51" s="233">
        <f>V45/(J44+J45+(J46*3/3))</f>
        <v>1.0179702048417132</v>
      </c>
      <c r="W51" s="233">
        <f>W45/(K44+K45+K46+(K46*1/3))</f>
        <v>0.96108245532549441</v>
      </c>
      <c r="X51" s="176"/>
      <c r="Y51" s="176"/>
    </row>
    <row r="52" spans="1:25" ht="15" thickBot="1" x14ac:dyDescent="0.25">
      <c r="A52" s="16" t="s">
        <v>20</v>
      </c>
      <c r="B52" s="92" t="s">
        <v>43</v>
      </c>
      <c r="C52" s="180">
        <v>10890</v>
      </c>
      <c r="D52" s="180"/>
      <c r="E52" s="180">
        <v>301</v>
      </c>
      <c r="F52" s="181">
        <f>SUM(C52:E52)</f>
        <v>11191</v>
      </c>
      <c r="G52" s="95"/>
      <c r="H52" s="22" t="s">
        <v>19</v>
      </c>
      <c r="I52" s="353">
        <v>9.7200000000000006</v>
      </c>
      <c r="J52" s="356"/>
      <c r="K52" s="353">
        <v>0.5</v>
      </c>
      <c r="L52" s="355"/>
      <c r="N52" s="231">
        <f>N46/((K44)*1/3)</f>
        <v>0.62170790103750995</v>
      </c>
      <c r="O52" s="231">
        <f>O46/((K44)*2/3)</f>
        <v>1.0466879489225858</v>
      </c>
      <c r="P52" s="231">
        <f>P46/((K44)*3/3)</f>
        <v>1.0712955573290768</v>
      </c>
      <c r="Q52" s="231">
        <f>Q46/((K44+K45)*4/6)</f>
        <v>1.0177410154021678</v>
      </c>
      <c r="R52" s="231">
        <f>R46/((K44+K45)*5/6)</f>
        <v>0.91002852253280087</v>
      </c>
      <c r="S52" s="231">
        <f>S46/((K44+K45)*6/6)</f>
        <v>0.88203080433542502</v>
      </c>
      <c r="T52" s="231">
        <f>T46/(K44+K45+(K46*1/3))</f>
        <v>0.92390142914384943</v>
      </c>
      <c r="U52" s="231">
        <f>U46/(K44+K45+(K46*2/3))</f>
        <v>1.0049700901758876</v>
      </c>
      <c r="V52" s="231">
        <f>V46/(K44+K45+(K46*3/3))</f>
        <v>1.0098244483813819</v>
      </c>
      <c r="W52" s="231">
        <f>W46/(K44+K45+K46+(K47*1/3))</f>
        <v>1.0508030767072687</v>
      </c>
      <c r="X52" s="177"/>
      <c r="Y52" s="177"/>
    </row>
    <row r="53" spans="1:25" ht="15" thickBot="1" x14ac:dyDescent="0.25">
      <c r="A53" s="97" t="s">
        <v>6</v>
      </c>
      <c r="B53" s="98" t="s">
        <v>43</v>
      </c>
      <c r="C53" s="182">
        <f>SUM(C51:C52)</f>
        <v>12163</v>
      </c>
      <c r="D53" s="183">
        <f>SUM(D51:D52)</f>
        <v>0</v>
      </c>
      <c r="E53" s="183">
        <f>SUM(E51:E52)</f>
        <v>706</v>
      </c>
      <c r="F53" s="184">
        <f>SUM(C53:E53)</f>
        <v>12869</v>
      </c>
      <c r="G53" s="102"/>
      <c r="H53" s="22" t="s">
        <v>21</v>
      </c>
      <c r="I53" s="353">
        <v>5.38</v>
      </c>
      <c r="J53" s="356"/>
      <c r="K53" s="353">
        <v>0.42</v>
      </c>
      <c r="L53" s="355"/>
    </row>
    <row r="54" spans="1:25" x14ac:dyDescent="0.2">
      <c r="A54" s="9"/>
      <c r="B54" s="10"/>
      <c r="C54" s="396" t="s">
        <v>25</v>
      </c>
      <c r="D54" s="396"/>
      <c r="E54" s="396"/>
      <c r="F54" s="397"/>
      <c r="G54" s="95"/>
      <c r="H54" s="22" t="s">
        <v>23</v>
      </c>
      <c r="I54" s="346">
        <f>I55-I51-I52-I53</f>
        <v>12.690000000000001</v>
      </c>
      <c r="J54" s="357"/>
      <c r="K54" s="346">
        <f>K55-K51-K52-K53</f>
        <v>6.99</v>
      </c>
      <c r="L54" s="348"/>
    </row>
    <row r="55" spans="1:25" ht="15.75" thickBot="1" x14ac:dyDescent="0.3">
      <c r="A55" s="16" t="s">
        <v>17</v>
      </c>
      <c r="B55" s="92" t="s">
        <v>43</v>
      </c>
      <c r="C55" s="180"/>
      <c r="D55" s="180"/>
      <c r="E55" s="180"/>
      <c r="F55" s="181">
        <f>SUM(C55:E55)</f>
        <v>0</v>
      </c>
      <c r="G55" s="95"/>
      <c r="H55" s="73" t="s">
        <v>24</v>
      </c>
      <c r="I55" s="349">
        <f>F46</f>
        <v>32.57</v>
      </c>
      <c r="J55" s="284"/>
      <c r="K55" s="349">
        <f>F47</f>
        <v>8.17</v>
      </c>
      <c r="L55" s="351"/>
      <c r="N55" s="342" t="s">
        <v>76</v>
      </c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</row>
    <row r="56" spans="1:25" ht="15" thickBot="1" x14ac:dyDescent="0.25">
      <c r="A56" s="16" t="s">
        <v>20</v>
      </c>
      <c r="B56" s="92" t="s">
        <v>43</v>
      </c>
      <c r="C56" s="180">
        <v>6068</v>
      </c>
      <c r="D56" s="180"/>
      <c r="E56" s="180"/>
      <c r="F56" s="181">
        <f>SUM(C56:E56)</f>
        <v>6068</v>
      </c>
      <c r="G56" s="95"/>
      <c r="H56" s="103"/>
      <c r="I56" s="95"/>
      <c r="J56" s="95"/>
      <c r="K56" s="82"/>
      <c r="L56" s="82"/>
      <c r="N56" s="232">
        <f>N44/I48</f>
        <v>0.11561382598331346</v>
      </c>
      <c r="O56" s="232">
        <f>O44/I48</f>
        <v>0.2628128724672229</v>
      </c>
      <c r="P56" s="232">
        <f>P44/I48</f>
        <v>0.35578069129916567</v>
      </c>
      <c r="Q56" s="232">
        <f>Q44/I48</f>
        <v>0.36829558998808104</v>
      </c>
      <c r="R56" s="232">
        <f>R44/I48</f>
        <v>0.36829558998808104</v>
      </c>
      <c r="S56" s="232">
        <f>S44/I48</f>
        <v>0.36829558998808104</v>
      </c>
      <c r="T56" s="232">
        <f>T44/I48</f>
        <v>0.61263408820023835</v>
      </c>
      <c r="U56" s="232">
        <f>U44/I48</f>
        <v>0.92014302741358756</v>
      </c>
      <c r="V56" s="232">
        <f>V44/I48</f>
        <v>0.95768772348033371</v>
      </c>
      <c r="W56" s="232">
        <f>W44/I48</f>
        <v>1.1185935637663886</v>
      </c>
      <c r="X56" s="175"/>
      <c r="Y56" s="175"/>
    </row>
    <row r="57" spans="1:25" ht="14.25" x14ac:dyDescent="0.2">
      <c r="A57" s="77" t="s">
        <v>6</v>
      </c>
      <c r="B57" s="27" t="s">
        <v>43</v>
      </c>
      <c r="C57" s="185">
        <f>SUM(C55:C56)</f>
        <v>6068</v>
      </c>
      <c r="D57" s="186">
        <f>SUM(D55:D56)</f>
        <v>0</v>
      </c>
      <c r="E57" s="186">
        <f>SUM(E55:E56)</f>
        <v>0</v>
      </c>
      <c r="F57" s="187">
        <f>SUM(C57:E57)</f>
        <v>6068</v>
      </c>
      <c r="G57" s="102"/>
      <c r="H57" s="96" t="s">
        <v>40</v>
      </c>
      <c r="I57" s="267" t="s">
        <v>39</v>
      </c>
      <c r="J57" s="268"/>
      <c r="K57" s="268"/>
      <c r="L57" s="269"/>
      <c r="N57" s="233">
        <f>N45/J48</f>
        <v>3.5980072575189127E-2</v>
      </c>
      <c r="O57" s="233">
        <f>O45/J48</f>
        <v>0.13420259548557723</v>
      </c>
      <c r="P57" s="233">
        <f>P45/J48</f>
        <v>0.21096008364598068</v>
      </c>
      <c r="Q57" s="233">
        <f>Q45/J48</f>
        <v>0.32775693462082539</v>
      </c>
      <c r="R57" s="233">
        <f>R45/J48</f>
        <v>0.37081001291592347</v>
      </c>
      <c r="S57" s="233">
        <f>S45/J48</f>
        <v>0.43748077987576112</v>
      </c>
      <c r="T57" s="233">
        <f>T45/J48</f>
        <v>0.50402853804046988</v>
      </c>
      <c r="U57" s="233">
        <f>U45/J48</f>
        <v>0.59733070914570396</v>
      </c>
      <c r="V57" s="233">
        <f>V45/J48</f>
        <v>0.67242757857186786</v>
      </c>
      <c r="W57" s="233">
        <f>W45/J48</f>
        <v>0.80601513008180081</v>
      </c>
      <c r="X57" s="176"/>
      <c r="Y57" s="176"/>
    </row>
    <row r="58" spans="1:25" ht="13.5" thickBot="1" x14ac:dyDescent="0.25">
      <c r="A58" s="47" t="s">
        <v>26</v>
      </c>
      <c r="B58" s="48" t="s">
        <v>13</v>
      </c>
      <c r="C58" s="188">
        <v>190</v>
      </c>
      <c r="D58" s="188"/>
      <c r="E58" s="188"/>
      <c r="F58" s="188">
        <f>SUM(C58:E58)</f>
        <v>190</v>
      </c>
      <c r="G58" s="108"/>
      <c r="H58" s="22" t="s">
        <v>15</v>
      </c>
      <c r="I58" s="353"/>
      <c r="J58" s="354"/>
      <c r="K58" s="354"/>
      <c r="L58" s="355"/>
      <c r="N58" s="231">
        <f>N46/K48</f>
        <v>4.3429782014829679E-2</v>
      </c>
      <c r="O58" s="231">
        <f>O46/K48</f>
        <v>0.14623404136700674</v>
      </c>
      <c r="P58" s="231">
        <f>P46/K48</f>
        <v>0.22450800022300274</v>
      </c>
      <c r="Q58" s="231">
        <f>Q46/K48</f>
        <v>0.33154931147906563</v>
      </c>
      <c r="R58" s="231">
        <f>R46/K48</f>
        <v>0.3705747895411719</v>
      </c>
      <c r="S58" s="231">
        <f>S46/K48</f>
        <v>0.43100852985449073</v>
      </c>
      <c r="T58" s="231">
        <f>T46/K48</f>
        <v>0.51418854880972287</v>
      </c>
      <c r="U58" s="231">
        <f>U46/K48</f>
        <v>0.62752968723866864</v>
      </c>
      <c r="V58" s="231">
        <f>V46/K48</f>
        <v>0.69911356414116077</v>
      </c>
      <c r="W58" s="231">
        <f>W46/K48</f>
        <v>0.83525673189496574</v>
      </c>
      <c r="X58" s="177"/>
      <c r="Y58" s="177"/>
    </row>
    <row r="59" spans="1:25" ht="13.5" thickBot="1" x14ac:dyDescent="0.25">
      <c r="A59" s="109" t="s">
        <v>27</v>
      </c>
      <c r="B59" s="110" t="s">
        <v>28</v>
      </c>
      <c r="C59" s="189">
        <f>IF(C58=0,0,ROUND((C57/C58),2))</f>
        <v>31.94</v>
      </c>
      <c r="D59" s="189">
        <f>IF(D58=0,0,ROUND((D57/D58),2))</f>
        <v>0</v>
      </c>
      <c r="E59" s="189">
        <f>IF(E58=0,0,ROUND((E57/E58),2))</f>
        <v>0</v>
      </c>
      <c r="F59" s="189">
        <f>IF(F58=0,0,ROUND((F57/F58),2))</f>
        <v>31.94</v>
      </c>
      <c r="G59" s="114"/>
      <c r="H59" s="22" t="s">
        <v>19</v>
      </c>
      <c r="I59" s="353">
        <v>41.99</v>
      </c>
      <c r="J59" s="354"/>
      <c r="K59" s="354"/>
      <c r="L59" s="355"/>
    </row>
    <row r="60" spans="1:25" x14ac:dyDescent="0.2">
      <c r="A60" s="9"/>
      <c r="B60" s="10"/>
      <c r="C60" s="396" t="s">
        <v>29</v>
      </c>
      <c r="D60" s="396"/>
      <c r="E60" s="396"/>
      <c r="F60" s="397"/>
      <c r="G60" s="95"/>
      <c r="H60" s="22" t="s">
        <v>21</v>
      </c>
      <c r="I60" s="353">
        <v>53.18</v>
      </c>
      <c r="J60" s="354"/>
      <c r="K60" s="354"/>
      <c r="L60" s="355"/>
    </row>
    <row r="61" spans="1:25" ht="15.75" thickBot="1" x14ac:dyDescent="0.25">
      <c r="A61" s="16" t="s">
        <v>44</v>
      </c>
      <c r="B61" s="92" t="s">
        <v>43</v>
      </c>
      <c r="C61" s="180"/>
      <c r="D61" s="180"/>
      <c r="E61" s="180"/>
      <c r="F61" s="181">
        <f>SUM(C61:E61)</f>
        <v>0</v>
      </c>
      <c r="G61" s="95"/>
      <c r="H61" s="22" t="s">
        <v>23</v>
      </c>
      <c r="I61" s="346">
        <f>I62-I58-I59-I60</f>
        <v>53.179999999999986</v>
      </c>
      <c r="J61" s="347"/>
      <c r="K61" s="347"/>
      <c r="L61" s="348"/>
      <c r="N61" s="270" t="s">
        <v>96</v>
      </c>
      <c r="O61" s="270"/>
      <c r="P61" s="270"/>
      <c r="Q61" s="270"/>
      <c r="R61" s="270"/>
      <c r="S61" s="270"/>
      <c r="T61" s="270"/>
      <c r="U61" s="270"/>
      <c r="V61" s="270"/>
      <c r="W61" s="270"/>
      <c r="X61" s="270"/>
      <c r="Y61" s="270"/>
    </row>
    <row r="62" spans="1:25" ht="15" thickBot="1" x14ac:dyDescent="0.25">
      <c r="A62" s="16" t="s">
        <v>45</v>
      </c>
      <c r="B62" s="92" t="s">
        <v>43</v>
      </c>
      <c r="C62" s="180">
        <v>1908</v>
      </c>
      <c r="D62" s="180"/>
      <c r="E62" s="180"/>
      <c r="F62" s="181">
        <f>SUM(C62:E62)</f>
        <v>1908</v>
      </c>
      <c r="G62" s="95"/>
      <c r="H62" s="73" t="s">
        <v>24</v>
      </c>
      <c r="I62" s="349">
        <f>F48</f>
        <v>148.35</v>
      </c>
      <c r="J62" s="350"/>
      <c r="K62" s="350"/>
      <c r="L62" s="351"/>
      <c r="M62" s="210" t="s">
        <v>94</v>
      </c>
      <c r="N62" s="175"/>
      <c r="O62" s="175">
        <v>0</v>
      </c>
      <c r="P62" s="175">
        <v>0</v>
      </c>
      <c r="Q62" s="175">
        <v>4.12</v>
      </c>
      <c r="R62" s="175">
        <v>25.91</v>
      </c>
      <c r="S62" s="175">
        <v>25.91</v>
      </c>
      <c r="T62" s="175">
        <v>25.91</v>
      </c>
      <c r="U62" s="175">
        <v>25.91</v>
      </c>
      <c r="V62" s="175">
        <v>34.94</v>
      </c>
      <c r="W62" s="175">
        <v>37.76</v>
      </c>
      <c r="X62" s="175">
        <f t="shared" ref="W62:Y62" si="17">X47-X56</f>
        <v>0</v>
      </c>
      <c r="Y62" s="227">
        <f t="shared" si="17"/>
        <v>0</v>
      </c>
    </row>
    <row r="63" spans="1:25" ht="15" thickBot="1" x14ac:dyDescent="0.25">
      <c r="A63" s="42" t="s">
        <v>6</v>
      </c>
      <c r="B63" s="115" t="s">
        <v>46</v>
      </c>
      <c r="C63" s="190">
        <f>SUM(C61:C62)</f>
        <v>1908</v>
      </c>
      <c r="D63" s="191">
        <f>SUM(D61:D62)</f>
        <v>0</v>
      </c>
      <c r="E63" s="191">
        <f>SUM(E61:E62)</f>
        <v>0</v>
      </c>
      <c r="F63" s="187">
        <f>SUM(C63:E63)</f>
        <v>1908</v>
      </c>
      <c r="G63" s="102"/>
      <c r="H63" s="103"/>
      <c r="I63" s="95"/>
      <c r="J63" s="95"/>
      <c r="K63" s="82"/>
      <c r="L63" s="82"/>
      <c r="M63" s="225" t="s">
        <v>95</v>
      </c>
      <c r="N63" s="175">
        <f>N62-(I51*1/3)</f>
        <v>-1.5933333333333335</v>
      </c>
      <c r="O63" s="175">
        <f>O62-((I51)*2/3)</f>
        <v>-3.186666666666667</v>
      </c>
      <c r="P63" s="175">
        <f>P62-((I51)*3/3)</f>
        <v>-4.78</v>
      </c>
      <c r="Q63" s="175">
        <f>Q62-((I51+I52))</f>
        <v>-10.379999999999999</v>
      </c>
      <c r="R63" s="175">
        <f>R62-((I51+I52))</f>
        <v>11.41</v>
      </c>
      <c r="S63" s="175">
        <f>S62-(I51+I52)</f>
        <v>11.41</v>
      </c>
      <c r="T63" s="175">
        <f>T62-(I51+I52+I53)</f>
        <v>6.0300000000000011</v>
      </c>
      <c r="U63" s="175">
        <f>U62-(I51+I53+I52)</f>
        <v>6.0299999999999976</v>
      </c>
      <c r="V63" s="175">
        <f>V62-(I51+I52+I53)</f>
        <v>15.059999999999999</v>
      </c>
      <c r="W63" s="226">
        <f>W62-((I51+I52+I53+I54)*10/12)</f>
        <v>10.618333333333332</v>
      </c>
      <c r="X63" s="226"/>
      <c r="Y63" s="228"/>
    </row>
    <row r="64" spans="1:25" ht="13.5" thickBot="1" x14ac:dyDescent="0.25">
      <c r="A64" s="47" t="s">
        <v>26</v>
      </c>
      <c r="B64" s="48" t="s">
        <v>13</v>
      </c>
      <c r="C64" s="188">
        <v>95</v>
      </c>
      <c r="D64" s="188"/>
      <c r="E64" s="188"/>
      <c r="F64" s="188">
        <f>SUM(C64:E64)</f>
        <v>95</v>
      </c>
      <c r="G64" s="108"/>
      <c r="H64" s="103"/>
      <c r="I64" s="95"/>
      <c r="J64" s="95"/>
      <c r="K64" s="82"/>
      <c r="L64" s="82"/>
      <c r="M64" s="229" t="s">
        <v>93</v>
      </c>
      <c r="N64" s="235">
        <f>N62/((I51)*1/3)</f>
        <v>0</v>
      </c>
      <c r="O64" s="235">
        <f>O62/((I51)*2/3)</f>
        <v>0</v>
      </c>
      <c r="P64" s="235">
        <f>P62/(I51*3/3)</f>
        <v>0</v>
      </c>
      <c r="Q64" s="235">
        <f>Q62/((I51+I52))</f>
        <v>0.28413793103448276</v>
      </c>
      <c r="R64" s="235">
        <f>R62/((I51+I52))</f>
        <v>1.786896551724138</v>
      </c>
      <c r="S64" s="235">
        <f>S62/(I51+I52)</f>
        <v>1.786896551724138</v>
      </c>
      <c r="T64" s="235">
        <f>T62/(I51+I52+I53)</f>
        <v>1.3033199195171028</v>
      </c>
      <c r="U64" s="235">
        <f>U62/(I51+I52+I53)</f>
        <v>1.3033199195171028</v>
      </c>
      <c r="V64" s="235">
        <f>V62/(I51+I52+I53)</f>
        <v>1.7575452716297786</v>
      </c>
      <c r="W64" s="239">
        <f>W62/((I51+I52+I53+I54)*10/12)</f>
        <v>1.3912189131102242</v>
      </c>
      <c r="X64" s="230">
        <f t="shared" ref="W64:Y64" si="18">X48-X57</f>
        <v>0</v>
      </c>
      <c r="Y64" s="179">
        <f t="shared" si="18"/>
        <v>0</v>
      </c>
    </row>
    <row r="65" spans="1:25" ht="13.5" thickBot="1" x14ac:dyDescent="0.25">
      <c r="A65" s="109" t="s">
        <v>27</v>
      </c>
      <c r="B65" s="110" t="s">
        <v>28</v>
      </c>
      <c r="C65" s="192">
        <f>IF(C64=0,0,ROUND((C63/C64),2))</f>
        <v>20.079999999999998</v>
      </c>
      <c r="D65" s="193">
        <f>IF(D64=0,0,ROUND((D63/D64),2))</f>
        <v>0</v>
      </c>
      <c r="E65" s="193">
        <f>IF(E64=0,0,ROUND((E63/E64),2))</f>
        <v>0</v>
      </c>
      <c r="F65" s="189">
        <f>IF(F64=0,0,ROUND((F63/F64),2))</f>
        <v>20.079999999999998</v>
      </c>
      <c r="G65" s="114"/>
      <c r="H65" s="103"/>
      <c r="I65" s="95"/>
      <c r="J65" s="95"/>
      <c r="K65" s="82"/>
      <c r="L65" s="82"/>
    </row>
    <row r="66" spans="1:25" x14ac:dyDescent="0.2">
      <c r="A66" s="116" t="s">
        <v>37</v>
      </c>
      <c r="B66" s="88" t="s">
        <v>13</v>
      </c>
      <c r="C66" s="89">
        <v>53</v>
      </c>
      <c r="D66" s="13">
        <v>5</v>
      </c>
      <c r="E66" s="13"/>
      <c r="F66" s="117">
        <f>SUM(C66:E66)</f>
        <v>58</v>
      </c>
      <c r="G66" s="95"/>
      <c r="H66" s="103"/>
      <c r="I66" s="95"/>
      <c r="J66" s="95"/>
      <c r="K66" s="82"/>
      <c r="L66" s="82"/>
    </row>
    <row r="67" spans="1:25" ht="15.75" thickBot="1" x14ac:dyDescent="0.25">
      <c r="A67" s="118" t="s">
        <v>39</v>
      </c>
      <c r="B67" s="94" t="s">
        <v>13</v>
      </c>
      <c r="C67" s="67">
        <v>148</v>
      </c>
      <c r="D67" s="68"/>
      <c r="E67" s="68"/>
      <c r="F67" s="119">
        <f>SUM(C67:E67)</f>
        <v>148</v>
      </c>
      <c r="G67" s="95"/>
      <c r="H67" s="103"/>
      <c r="I67" s="95"/>
      <c r="J67" s="95"/>
      <c r="K67" s="82"/>
      <c r="L67" s="82"/>
      <c r="N67" s="270" t="s">
        <v>97</v>
      </c>
      <c r="O67" s="270"/>
      <c r="P67" s="270"/>
      <c r="Q67" s="270"/>
      <c r="R67" s="270"/>
      <c r="S67" s="270"/>
      <c r="T67" s="270"/>
      <c r="U67" s="270"/>
      <c r="V67" s="270"/>
      <c r="W67" s="270"/>
      <c r="X67" s="270"/>
      <c r="Y67" s="270"/>
    </row>
    <row r="68" spans="1:25" ht="13.5" thickBot="1" x14ac:dyDescent="0.25">
      <c r="A68" s="81"/>
      <c r="B68" s="80"/>
      <c r="C68" s="81"/>
      <c r="D68" s="81"/>
      <c r="E68" s="81"/>
      <c r="F68" s="81"/>
      <c r="G68" s="81"/>
      <c r="H68" s="80"/>
      <c r="I68" s="81"/>
      <c r="J68" s="81"/>
      <c r="K68" s="82"/>
      <c r="L68" s="82"/>
      <c r="M68" s="210" t="s">
        <v>94</v>
      </c>
      <c r="N68" s="175"/>
      <c r="O68" s="175"/>
      <c r="P68" s="175"/>
      <c r="Q68" s="175">
        <v>0</v>
      </c>
      <c r="R68" s="175">
        <v>23.35</v>
      </c>
      <c r="S68" s="175">
        <v>58.84</v>
      </c>
      <c r="T68" s="175">
        <v>58.84</v>
      </c>
      <c r="U68" s="175">
        <v>60.04</v>
      </c>
      <c r="V68" s="175">
        <v>62.69</v>
      </c>
      <c r="W68" s="175">
        <v>62.69</v>
      </c>
      <c r="X68" s="175">
        <f>X53-X62</f>
        <v>0</v>
      </c>
      <c r="Y68" s="227">
        <f>Y53-Y62</f>
        <v>0</v>
      </c>
    </row>
    <row r="69" spans="1:25" ht="13.5" thickBot="1" x14ac:dyDescent="0.25">
      <c r="A69" s="120" t="s">
        <v>47</v>
      </c>
      <c r="B69" s="121"/>
      <c r="C69" s="120"/>
      <c r="D69" s="120" t="s">
        <v>48</v>
      </c>
      <c r="E69" s="122"/>
      <c r="F69" s="120" t="s">
        <v>49</v>
      </c>
      <c r="G69" s="120"/>
      <c r="H69" s="123"/>
      <c r="I69" s="120"/>
      <c r="J69" s="81"/>
      <c r="K69" s="82"/>
      <c r="L69" s="82"/>
      <c r="M69" s="225" t="s">
        <v>95</v>
      </c>
      <c r="N69" s="175">
        <f>N68-((I58)*1/3)</f>
        <v>0</v>
      </c>
      <c r="O69" s="175">
        <f>O68-((I58)*2/3)</f>
        <v>0</v>
      </c>
      <c r="P69" s="175">
        <f>P68-((I58)*3/3)</f>
        <v>0</v>
      </c>
      <c r="Q69" s="175">
        <f>Q68-((I58+I59)*4/6)</f>
        <v>-27.993333333333336</v>
      </c>
      <c r="R69" s="175">
        <f>R68-((I58+I59)*5/6)</f>
        <v>-11.641666666666666</v>
      </c>
      <c r="S69" s="175">
        <f>S68-(I58+I59)</f>
        <v>16.850000000000001</v>
      </c>
      <c r="T69" s="175">
        <f>T68-((I58+I59+I60)*7/9)</f>
        <v>-15.181111111111107</v>
      </c>
      <c r="U69" s="175">
        <f>U68-((I58+I59+I60)*8/9)</f>
        <v>-24.555555555555564</v>
      </c>
      <c r="V69" s="175">
        <f>V68-((I58+I59+I60)*9/9)</f>
        <v>-32.480000000000004</v>
      </c>
      <c r="W69" s="226">
        <f>W68-((I58+I59+I60+I61)*10/12)</f>
        <v>-60.935000000000002</v>
      </c>
      <c r="X69" s="226"/>
      <c r="Y69" s="228"/>
    </row>
    <row r="70" spans="1:25" ht="13.5" thickBot="1" x14ac:dyDescent="0.25">
      <c r="A70" s="124"/>
      <c r="B70" s="125"/>
      <c r="C70" s="124"/>
      <c r="D70" s="126"/>
      <c r="E70" s="124"/>
      <c r="F70" s="124"/>
      <c r="G70" s="124"/>
      <c r="H70" s="125"/>
      <c r="I70" s="124"/>
      <c r="J70" s="124"/>
      <c r="K70" s="127"/>
      <c r="L70" s="127"/>
      <c r="M70" s="229" t="s">
        <v>93</v>
      </c>
      <c r="N70" s="235" t="e">
        <f>N68/((I58)*1/3)</f>
        <v>#DIV/0!</v>
      </c>
      <c r="O70" s="235" t="e">
        <f>O68/((I58)*2/3)</f>
        <v>#DIV/0!</v>
      </c>
      <c r="P70" s="235" t="e">
        <f>P68/((I58)*3/3)</f>
        <v>#DIV/0!</v>
      </c>
      <c r="Q70" s="235">
        <f>Q68/((I58+I59)*4/6)</f>
        <v>0</v>
      </c>
      <c r="R70" s="235">
        <f>R68/((I58+I59)*5/6)</f>
        <v>0.66730173850916885</v>
      </c>
      <c r="S70" s="235">
        <f>S68/(I58+I59)</f>
        <v>1.4012860204810669</v>
      </c>
      <c r="T70" s="235">
        <f>T68/((I58+I60+I59)*7/9)</f>
        <v>0.79490835947702609</v>
      </c>
      <c r="U70" s="235">
        <f>U68/((I58+I59+I60)*8/9)</f>
        <v>0.70972995691919716</v>
      </c>
      <c r="V70" s="235">
        <f>V68/((I58+I59+I60)*9/9)</f>
        <v>0.65871598192707781</v>
      </c>
      <c r="W70" s="239">
        <f>W68/((I58+I59+I60+I61)*10/12)</f>
        <v>0.50709807886754299</v>
      </c>
      <c r="X70" s="230">
        <f>X54-X64</f>
        <v>0</v>
      </c>
      <c r="Y70" s="179">
        <f>Y54-Y64</f>
        <v>0</v>
      </c>
    </row>
  </sheetData>
  <mergeCells count="84">
    <mergeCell ref="N43:Y43"/>
    <mergeCell ref="N49:Y49"/>
    <mergeCell ref="N55:Y55"/>
    <mergeCell ref="N27:Y27"/>
    <mergeCell ref="N32:Y32"/>
    <mergeCell ref="N37:Y37"/>
    <mergeCell ref="N1:Y1"/>
    <mergeCell ref="N4:Y4"/>
    <mergeCell ref="N9:Y9"/>
    <mergeCell ref="N15:Y15"/>
    <mergeCell ref="N22:Y22"/>
    <mergeCell ref="C1:K1"/>
    <mergeCell ref="A2:A3"/>
    <mergeCell ref="B2:B3"/>
    <mergeCell ref="C2:C3"/>
    <mergeCell ref="D2:E2"/>
    <mergeCell ref="F2:F3"/>
    <mergeCell ref="H2:L2"/>
    <mergeCell ref="A21:B21"/>
    <mergeCell ref="C22:F22"/>
    <mergeCell ref="C4:F4"/>
    <mergeCell ref="A7:A8"/>
    <mergeCell ref="B7:B8"/>
    <mergeCell ref="C7:C8"/>
    <mergeCell ref="D7:D8"/>
    <mergeCell ref="E7:E8"/>
    <mergeCell ref="F7:F8"/>
    <mergeCell ref="F25:F26"/>
    <mergeCell ref="C9:F9"/>
    <mergeCell ref="H9:L9"/>
    <mergeCell ref="C15:F15"/>
    <mergeCell ref="H15:L15"/>
    <mergeCell ref="A25:A26"/>
    <mergeCell ref="B25:B26"/>
    <mergeCell ref="C25:C26"/>
    <mergeCell ref="D25:D26"/>
    <mergeCell ref="E25:E26"/>
    <mergeCell ref="C27:F27"/>
    <mergeCell ref="A30:A31"/>
    <mergeCell ref="B30:B31"/>
    <mergeCell ref="C30:C31"/>
    <mergeCell ref="D30:D31"/>
    <mergeCell ref="E30:E31"/>
    <mergeCell ref="F30:F31"/>
    <mergeCell ref="C32:F32"/>
    <mergeCell ref="A35:A36"/>
    <mergeCell ref="B35:B36"/>
    <mergeCell ref="C35:C36"/>
    <mergeCell ref="D35:D36"/>
    <mergeCell ref="E35:E36"/>
    <mergeCell ref="F35:F36"/>
    <mergeCell ref="C37:F37"/>
    <mergeCell ref="A40:A41"/>
    <mergeCell ref="B40:B41"/>
    <mergeCell ref="C40:C41"/>
    <mergeCell ref="D40:D41"/>
    <mergeCell ref="E40:E41"/>
    <mergeCell ref="F40:F41"/>
    <mergeCell ref="C42:F42"/>
    <mergeCell ref="H43:L43"/>
    <mergeCell ref="A49:F49"/>
    <mergeCell ref="C50:F50"/>
    <mergeCell ref="I50:J50"/>
    <mergeCell ref="K50:L50"/>
    <mergeCell ref="I51:J51"/>
    <mergeCell ref="K51:L51"/>
    <mergeCell ref="I52:J52"/>
    <mergeCell ref="K52:L52"/>
    <mergeCell ref="I53:J53"/>
    <mergeCell ref="K53:L53"/>
    <mergeCell ref="N61:Y61"/>
    <mergeCell ref="N67:Y67"/>
    <mergeCell ref="I62:L62"/>
    <mergeCell ref="C54:F54"/>
    <mergeCell ref="I54:J54"/>
    <mergeCell ref="K54:L54"/>
    <mergeCell ref="I55:J55"/>
    <mergeCell ref="K55:L55"/>
    <mergeCell ref="I57:L57"/>
    <mergeCell ref="I58:L58"/>
    <mergeCell ref="I59:L59"/>
    <mergeCell ref="C60:F60"/>
    <mergeCell ref="I60:L60"/>
    <mergeCell ref="I61:L61"/>
  </mergeCells>
  <conditionalFormatting sqref="G63 F18:G18 F35:G35 F40:G40 F12:G12 F25:G25 F45:G45 G53 G57 F30:G30">
    <cfRule type="cellIs" dxfId="8" priority="2" stopIfTrue="1" operator="notEqual">
      <formula>F10+F11</formula>
    </cfRule>
  </conditionalFormatting>
  <conditionalFormatting sqref="H31">
    <cfRule type="expression" dxfId="7" priority="3" stopIfTrue="1">
      <formula>F31&lt;&gt;SUM(I27:I31)</formula>
    </cfRule>
  </conditionalFormatting>
  <conditionalFormatting sqref="F63 F53 F57">
    <cfRule type="cellIs" dxfId="6" priority="1" stopIfTrue="1" operator="notEqual">
      <formula>F51+F52</formula>
    </cfRule>
  </conditionalFormatting>
  <printOptions horizontalCentered="1" verticalCentered="1"/>
  <pageMargins left="0" right="0" top="0" bottom="0" header="0.51181102362204722" footer="0.51181102362204722"/>
  <pageSetup paperSize="9"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topLeftCell="A40" zoomScaleNormal="100" workbookViewId="0">
      <selection activeCell="W70" sqref="W70"/>
    </sheetView>
  </sheetViews>
  <sheetFormatPr defaultRowHeight="12.75" x14ac:dyDescent="0.2"/>
  <cols>
    <col min="2" max="2" width="10.42578125" customWidth="1"/>
    <col min="6" max="6" width="8.28515625" customWidth="1"/>
    <col min="7" max="7" width="2" customWidth="1"/>
    <col min="12" max="12" width="8.140625" customWidth="1"/>
    <col min="14" max="25" width="9.28515625" customWidth="1"/>
    <col min="26" max="26" width="7" customWidth="1"/>
  </cols>
  <sheetData>
    <row r="1" spans="1:25" ht="16.5" thickBot="1" x14ac:dyDescent="0.3">
      <c r="A1" s="1" t="s">
        <v>0</v>
      </c>
      <c r="B1" s="155" t="s">
        <v>84</v>
      </c>
      <c r="C1" s="325" t="s">
        <v>99</v>
      </c>
      <c r="D1" s="325"/>
      <c r="E1" s="325"/>
      <c r="F1" s="325"/>
      <c r="G1" s="325"/>
      <c r="H1" s="325"/>
      <c r="I1" s="325"/>
      <c r="J1" s="325"/>
      <c r="K1" s="325"/>
      <c r="L1" s="155" t="s">
        <v>2</v>
      </c>
      <c r="N1" s="336" t="s">
        <v>54</v>
      </c>
      <c r="O1" s="337"/>
      <c r="P1" s="337"/>
      <c r="Q1" s="337"/>
      <c r="R1" s="337"/>
      <c r="S1" s="337"/>
      <c r="T1" s="338"/>
      <c r="U1" s="338"/>
      <c r="V1" s="338"/>
      <c r="W1" s="338"/>
      <c r="X1" s="338"/>
      <c r="Y1" s="339"/>
    </row>
    <row r="2" spans="1:25" ht="13.5" thickBot="1" x14ac:dyDescent="0.25">
      <c r="A2" s="326"/>
      <c r="B2" s="328" t="s">
        <v>3</v>
      </c>
      <c r="C2" s="330" t="s">
        <v>4</v>
      </c>
      <c r="D2" s="332" t="s">
        <v>5</v>
      </c>
      <c r="E2" s="332"/>
      <c r="F2" s="333" t="s">
        <v>6</v>
      </c>
      <c r="G2" s="3"/>
      <c r="H2" s="335" t="s">
        <v>7</v>
      </c>
      <c r="I2" s="287"/>
      <c r="J2" s="287"/>
      <c r="K2" s="287"/>
      <c r="L2" s="288"/>
      <c r="N2" s="166" t="s">
        <v>55</v>
      </c>
      <c r="O2" s="167" t="s">
        <v>56</v>
      </c>
      <c r="P2" s="167" t="s">
        <v>57</v>
      </c>
      <c r="Q2" s="167" t="s">
        <v>58</v>
      </c>
      <c r="R2" s="167" t="s">
        <v>59</v>
      </c>
      <c r="S2" s="167" t="s">
        <v>60</v>
      </c>
      <c r="T2" s="167" t="s">
        <v>61</v>
      </c>
      <c r="U2" s="167" t="s">
        <v>62</v>
      </c>
      <c r="V2" s="167" t="s">
        <v>63</v>
      </c>
      <c r="W2" s="167" t="s">
        <v>64</v>
      </c>
      <c r="X2" s="167" t="s">
        <v>65</v>
      </c>
      <c r="Y2" s="168" t="s">
        <v>66</v>
      </c>
    </row>
    <row r="3" spans="1:25" ht="13.5" thickBot="1" x14ac:dyDescent="0.25">
      <c r="A3" s="327"/>
      <c r="B3" s="329"/>
      <c r="C3" s="331"/>
      <c r="D3" s="4" t="s">
        <v>8</v>
      </c>
      <c r="E3" s="5" t="s">
        <v>9</v>
      </c>
      <c r="F3" s="334"/>
      <c r="G3" s="3"/>
      <c r="H3" s="6" t="s">
        <v>10</v>
      </c>
      <c r="I3" s="7" t="s">
        <v>11</v>
      </c>
      <c r="J3" s="7" t="s">
        <v>12</v>
      </c>
      <c r="K3" s="7" t="s">
        <v>6</v>
      </c>
      <c r="L3" s="8" t="s">
        <v>13</v>
      </c>
    </row>
    <row r="4" spans="1:25" ht="13.5" thickBot="1" x14ac:dyDescent="0.25">
      <c r="A4" s="9"/>
      <c r="B4" s="10"/>
      <c r="C4" s="268" t="s">
        <v>14</v>
      </c>
      <c r="D4" s="268"/>
      <c r="E4" s="268"/>
      <c r="F4" s="269"/>
      <c r="G4" s="11"/>
      <c r="H4" s="12" t="s">
        <v>15</v>
      </c>
      <c r="I4" s="13">
        <v>228</v>
      </c>
      <c r="J4" s="13">
        <v>5794</v>
      </c>
      <c r="K4" s="14">
        <f>SUM(I4:J4)</f>
        <v>6022</v>
      </c>
      <c r="L4" s="15" t="s">
        <v>16</v>
      </c>
      <c r="N4" s="340" t="s">
        <v>67</v>
      </c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</row>
    <row r="5" spans="1:25" x14ac:dyDescent="0.2">
      <c r="A5" s="16" t="s">
        <v>17</v>
      </c>
      <c r="B5" s="17" t="s">
        <v>18</v>
      </c>
      <c r="C5" s="18">
        <v>328</v>
      </c>
      <c r="D5" s="19"/>
      <c r="E5" s="19"/>
      <c r="F5" s="158">
        <f>SUM(C5:E5)</f>
        <v>328</v>
      </c>
      <c r="G5" s="21"/>
      <c r="H5" s="22" t="s">
        <v>19</v>
      </c>
      <c r="I5" s="19"/>
      <c r="J5" s="19">
        <v>1680</v>
      </c>
      <c r="K5" s="23">
        <f>SUM(I5:J5)</f>
        <v>1680</v>
      </c>
      <c r="L5" s="24" t="s">
        <v>16</v>
      </c>
      <c r="N5" s="169">
        <v>26</v>
      </c>
      <c r="O5" s="169">
        <v>69</v>
      </c>
      <c r="P5" s="169">
        <v>193</v>
      </c>
      <c r="Q5" s="169">
        <v>247</v>
      </c>
      <c r="R5" s="169">
        <v>247</v>
      </c>
      <c r="S5" s="169">
        <v>247</v>
      </c>
      <c r="T5" s="169">
        <v>247</v>
      </c>
      <c r="U5" s="169">
        <v>247</v>
      </c>
      <c r="V5" s="169">
        <v>247</v>
      </c>
      <c r="W5" s="169">
        <v>247</v>
      </c>
      <c r="X5" s="169">
        <f>[1]Šaštín!X5+[1]Holíč!X5+'[1]Mor. Ján'!X5+[1]Lozorno!X5+[1]Sološnica!X5</f>
        <v>0</v>
      </c>
      <c r="Y5" s="169">
        <f>[1]Šaštín!Y5+[1]Holíč!Y5+'[1]Mor. Ján'!Y5+[1]Lozorno!Y5+[1]Sološnica!Y5</f>
        <v>0</v>
      </c>
    </row>
    <row r="6" spans="1:25" ht="13.5" thickBot="1" x14ac:dyDescent="0.25">
      <c r="A6" s="16" t="s">
        <v>20</v>
      </c>
      <c r="B6" s="17" t="s">
        <v>18</v>
      </c>
      <c r="C6" s="18">
        <v>13094</v>
      </c>
      <c r="D6" s="19"/>
      <c r="E6" s="19"/>
      <c r="F6" s="158">
        <f>SUM(C6:E6)</f>
        <v>13094</v>
      </c>
      <c r="G6" s="21"/>
      <c r="H6" s="22" t="s">
        <v>21</v>
      </c>
      <c r="I6" s="19"/>
      <c r="J6" s="19">
        <v>2600</v>
      </c>
      <c r="K6" s="23">
        <f>SUM(I6:J6)</f>
        <v>2600</v>
      </c>
      <c r="L6" s="24" t="s">
        <v>16</v>
      </c>
      <c r="N6" s="170">
        <v>118</v>
      </c>
      <c r="O6" s="170">
        <v>2416</v>
      </c>
      <c r="P6" s="170">
        <v>4851</v>
      </c>
      <c r="Q6" s="170">
        <v>6716</v>
      </c>
      <c r="R6" s="170">
        <v>7222</v>
      </c>
      <c r="S6" s="170">
        <v>7240</v>
      </c>
      <c r="T6" s="170">
        <v>7306</v>
      </c>
      <c r="U6" s="170">
        <v>8409</v>
      </c>
      <c r="V6" s="170">
        <v>9538</v>
      </c>
      <c r="W6" s="170">
        <v>10843</v>
      </c>
      <c r="X6" s="170">
        <f>[1]Šaštín!X6+[1]Holíč!X6+'[1]Mor. Ján'!X6+[1]Lozorno!X6+[1]Sološnica!X6</f>
        <v>0</v>
      </c>
      <c r="Y6" s="170">
        <f>[1]Šaštín!Y6+[1]Holíč!Y6+'[1]Mor. Ján'!Y6+[1]Lozorno!Y6+[1]Sološnica!Y6</f>
        <v>0</v>
      </c>
    </row>
    <row r="7" spans="1:25" ht="13.5" thickBot="1" x14ac:dyDescent="0.25">
      <c r="A7" s="289" t="s">
        <v>6</v>
      </c>
      <c r="B7" s="291" t="s">
        <v>22</v>
      </c>
      <c r="C7" s="293">
        <f>SUM(C5:C6)</f>
        <v>13422</v>
      </c>
      <c r="D7" s="295">
        <f>SUM(D5:D6)</f>
        <v>0</v>
      </c>
      <c r="E7" s="295">
        <f>SUM(E5:E6)</f>
        <v>0</v>
      </c>
      <c r="F7" s="297">
        <f>SUM(C7:E7)</f>
        <v>13422</v>
      </c>
      <c r="G7" s="25"/>
      <c r="H7" s="26" t="s">
        <v>23</v>
      </c>
      <c r="I7" s="23">
        <f>I8-I4-I5-I6</f>
        <v>100</v>
      </c>
      <c r="J7" s="23">
        <f>J8-J4-J5-J6</f>
        <v>3020</v>
      </c>
      <c r="K7" s="23">
        <f>SUM(I7:J7)</f>
        <v>3120</v>
      </c>
      <c r="L7" s="27" t="s">
        <v>16</v>
      </c>
      <c r="N7" s="171">
        <f>N5+N6</f>
        <v>144</v>
      </c>
      <c r="O7" s="172">
        <f>O5+O6</f>
        <v>2485</v>
      </c>
      <c r="P7" s="173">
        <f>SUM(P5:P6)</f>
        <v>5044</v>
      </c>
      <c r="Q7" s="173">
        <f t="shared" ref="Q7:Y7" si="0">SUM(Q5:Q6)</f>
        <v>6963</v>
      </c>
      <c r="R7" s="173">
        <f t="shared" si="0"/>
        <v>7469</v>
      </c>
      <c r="S7" s="173">
        <f t="shared" si="0"/>
        <v>7487</v>
      </c>
      <c r="T7" s="173">
        <f t="shared" si="0"/>
        <v>7553</v>
      </c>
      <c r="U7" s="173">
        <f t="shared" si="0"/>
        <v>8656</v>
      </c>
      <c r="V7" s="173">
        <f t="shared" si="0"/>
        <v>9785</v>
      </c>
      <c r="W7" s="173">
        <f t="shared" si="0"/>
        <v>11090</v>
      </c>
      <c r="X7" s="173">
        <f t="shared" si="0"/>
        <v>0</v>
      </c>
      <c r="Y7" s="174">
        <f t="shared" si="0"/>
        <v>0</v>
      </c>
    </row>
    <row r="8" spans="1:25" ht="13.5" thickBot="1" x14ac:dyDescent="0.25">
      <c r="A8" s="320"/>
      <c r="B8" s="321"/>
      <c r="C8" s="358"/>
      <c r="D8" s="359"/>
      <c r="E8" s="359"/>
      <c r="F8" s="360"/>
      <c r="G8" s="25"/>
      <c r="H8" s="28" t="s">
        <v>24</v>
      </c>
      <c r="I8" s="29">
        <f>F5</f>
        <v>328</v>
      </c>
      <c r="J8" s="29">
        <f>F6</f>
        <v>13094</v>
      </c>
      <c r="K8" s="29">
        <f>SUM(I8:J8)</f>
        <v>13422</v>
      </c>
      <c r="L8" s="30" t="s">
        <v>16</v>
      </c>
    </row>
    <row r="9" spans="1:25" ht="13.5" thickBot="1" x14ac:dyDescent="0.25">
      <c r="A9" s="31"/>
      <c r="B9" s="32"/>
      <c r="C9" s="268" t="s">
        <v>25</v>
      </c>
      <c r="D9" s="268"/>
      <c r="E9" s="268"/>
      <c r="F9" s="269"/>
      <c r="G9" s="21"/>
      <c r="H9" s="315"/>
      <c r="I9" s="316"/>
      <c r="J9" s="316"/>
      <c r="K9" s="316"/>
      <c r="L9" s="317"/>
      <c r="N9" s="341" t="s">
        <v>68</v>
      </c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</row>
    <row r="10" spans="1:25" x14ac:dyDescent="0.2">
      <c r="A10" s="16" t="s">
        <v>17</v>
      </c>
      <c r="B10" s="17" t="s">
        <v>18</v>
      </c>
      <c r="C10" s="18">
        <v>90</v>
      </c>
      <c r="D10" s="19"/>
      <c r="E10" s="19"/>
      <c r="F10" s="158">
        <f>SUM(C10:E10)</f>
        <v>90</v>
      </c>
      <c r="G10" s="21"/>
      <c r="H10" s="22" t="s">
        <v>15</v>
      </c>
      <c r="I10" s="19"/>
      <c r="J10" s="19">
        <v>539</v>
      </c>
      <c r="K10" s="23">
        <f>SUM(I10:J10)</f>
        <v>539</v>
      </c>
      <c r="L10" s="33">
        <v>12</v>
      </c>
      <c r="N10" s="169">
        <v>9</v>
      </c>
      <c r="O10" s="169">
        <v>9</v>
      </c>
      <c r="P10" s="169">
        <v>9</v>
      </c>
      <c r="Q10" s="169">
        <v>9</v>
      </c>
      <c r="R10" s="169">
        <v>9</v>
      </c>
      <c r="S10" s="169">
        <v>16</v>
      </c>
      <c r="T10" s="169">
        <v>16</v>
      </c>
      <c r="U10" s="169">
        <v>25</v>
      </c>
      <c r="V10" s="169">
        <v>25</v>
      </c>
      <c r="W10" s="169">
        <v>33</v>
      </c>
      <c r="X10" s="169">
        <f>[1]Šaštín!X10+[1]Holíč!X10+'[1]Mor. Ján'!X10+[1]Lozorno!X10+[1]Sološnica!X10</f>
        <v>0</v>
      </c>
      <c r="Y10" s="169">
        <f>[1]Šaštín!Y10+[1]Holíč!Y10+'[1]Mor. Ján'!Y10+[1]Lozorno!Y10+[1]Sološnica!Y10</f>
        <v>0</v>
      </c>
    </row>
    <row r="11" spans="1:25" ht="13.5" thickBot="1" x14ac:dyDescent="0.25">
      <c r="A11" s="34" t="s">
        <v>20</v>
      </c>
      <c r="B11" s="35" t="s">
        <v>18</v>
      </c>
      <c r="C11" s="36">
        <v>9428</v>
      </c>
      <c r="D11" s="37"/>
      <c r="E11" s="37"/>
      <c r="F11" s="38">
        <f>SUM(C11:E11)</f>
        <v>9428</v>
      </c>
      <c r="G11" s="21"/>
      <c r="H11" s="39" t="s">
        <v>19</v>
      </c>
      <c r="I11" s="37"/>
      <c r="J11" s="37">
        <v>4238</v>
      </c>
      <c r="K11" s="40">
        <f>SUM(I11:J11)</f>
        <v>4238</v>
      </c>
      <c r="L11" s="41">
        <v>89</v>
      </c>
      <c r="N11" s="170">
        <v>541</v>
      </c>
      <c r="O11" s="170">
        <v>554</v>
      </c>
      <c r="P11" s="170">
        <v>1013</v>
      </c>
      <c r="Q11" s="170">
        <v>1471</v>
      </c>
      <c r="R11" s="170">
        <v>2845</v>
      </c>
      <c r="S11" s="170">
        <v>4098</v>
      </c>
      <c r="T11" s="170">
        <v>5012</v>
      </c>
      <c r="U11" s="170">
        <v>6227</v>
      </c>
      <c r="V11" s="170">
        <v>7014</v>
      </c>
      <c r="W11" s="170">
        <v>7865</v>
      </c>
      <c r="X11" s="170">
        <f>[1]Šaštín!X11+[1]Holíč!X11+'[1]Mor. Ján'!X11+[1]Lozorno!X11+[1]Sološnica!X11</f>
        <v>0</v>
      </c>
      <c r="Y11" s="170">
        <f>[1]Šaštín!Y11+[1]Holíč!Y11+'[1]Mor. Ján'!Y11+[1]Lozorno!Y11+[1]Sološnica!Y11</f>
        <v>0</v>
      </c>
    </row>
    <row r="12" spans="1:25" ht="13.5" thickBot="1" x14ac:dyDescent="0.25">
      <c r="A12" s="42" t="s">
        <v>6</v>
      </c>
      <c r="B12" s="156" t="s">
        <v>22</v>
      </c>
      <c r="C12" s="44">
        <f>SUM(C10:C11)</f>
        <v>9518</v>
      </c>
      <c r="D12" s="45">
        <f>SUM(D10:D11)</f>
        <v>0</v>
      </c>
      <c r="E12" s="45">
        <f>SUM(E10:E11)</f>
        <v>0</v>
      </c>
      <c r="F12" s="46">
        <f>SUM(C12:E12)</f>
        <v>9518</v>
      </c>
      <c r="G12" s="21"/>
      <c r="H12" s="22" t="s">
        <v>21</v>
      </c>
      <c r="I12" s="19">
        <v>20</v>
      </c>
      <c r="J12" s="19">
        <v>2241</v>
      </c>
      <c r="K12" s="23">
        <f>SUM(I12:J12)</f>
        <v>2261</v>
      </c>
      <c r="L12" s="33">
        <v>62</v>
      </c>
      <c r="N12" s="171">
        <f>N10+N11</f>
        <v>550</v>
      </c>
      <c r="O12" s="172">
        <f>O10+O11</f>
        <v>563</v>
      </c>
      <c r="P12" s="173">
        <f>SUM(P10:P11)</f>
        <v>1022</v>
      </c>
      <c r="Q12" s="173">
        <f t="shared" ref="Q12:Y12" si="1">SUM(Q10:Q11)</f>
        <v>1480</v>
      </c>
      <c r="R12" s="173">
        <f t="shared" si="1"/>
        <v>2854</v>
      </c>
      <c r="S12" s="173">
        <f t="shared" si="1"/>
        <v>4114</v>
      </c>
      <c r="T12" s="173">
        <f t="shared" si="1"/>
        <v>5028</v>
      </c>
      <c r="U12" s="173">
        <f t="shared" si="1"/>
        <v>6252</v>
      </c>
      <c r="V12" s="173">
        <f t="shared" si="1"/>
        <v>7039</v>
      </c>
      <c r="W12" s="173">
        <f t="shared" si="1"/>
        <v>7898</v>
      </c>
      <c r="X12" s="173">
        <f t="shared" si="1"/>
        <v>0</v>
      </c>
      <c r="Y12" s="174">
        <f t="shared" si="1"/>
        <v>0</v>
      </c>
    </row>
    <row r="13" spans="1:25" x14ac:dyDescent="0.2">
      <c r="A13" s="47" t="s">
        <v>26</v>
      </c>
      <c r="B13" s="48" t="s">
        <v>13</v>
      </c>
      <c r="C13" s="18">
        <v>208</v>
      </c>
      <c r="D13" s="19"/>
      <c r="E13" s="19">
        <v>0</v>
      </c>
      <c r="F13" s="49">
        <f>SUM(C13:E13)</f>
        <v>208</v>
      </c>
      <c r="G13" s="50"/>
      <c r="H13" s="22" t="s">
        <v>23</v>
      </c>
      <c r="I13" s="23">
        <f>I14-I10-I11-I12</f>
        <v>70</v>
      </c>
      <c r="J13" s="23">
        <f>J14-J10-J11-J12</f>
        <v>2410</v>
      </c>
      <c r="K13" s="23">
        <f>SUM(I13:J13)</f>
        <v>2480</v>
      </c>
      <c r="L13" s="51">
        <f>L14-L10-L11-L12</f>
        <v>45</v>
      </c>
      <c r="N13">
        <v>9</v>
      </c>
      <c r="O13">
        <v>9</v>
      </c>
      <c r="P13">
        <v>21</v>
      </c>
      <c r="Q13">
        <v>30</v>
      </c>
      <c r="R13">
        <v>61</v>
      </c>
      <c r="S13">
        <v>81</v>
      </c>
      <c r="T13">
        <v>97</v>
      </c>
      <c r="U13">
        <v>119</v>
      </c>
      <c r="V13">
        <v>135</v>
      </c>
      <c r="W13">
        <v>151</v>
      </c>
      <c r="X13">
        <f>[1]Šaštín!X13+[1]Holíč!X13+'[1]Mor. Ján'!X13+[1]Lozorno!X13+[1]Sološnica!X13</f>
        <v>0</v>
      </c>
      <c r="Y13">
        <f>[1]Šaštín!Y13+[1]Holíč!Y13+'[1]Mor. Ján'!Y13+[1]Lozorno!Y13+[1]Sološnica!Y13</f>
        <v>0</v>
      </c>
    </row>
    <row r="14" spans="1:25" ht="13.5" thickBot="1" x14ac:dyDescent="0.25">
      <c r="A14" s="52" t="s">
        <v>27</v>
      </c>
      <c r="B14" s="53" t="s">
        <v>28</v>
      </c>
      <c r="C14" s="54">
        <f>IF(C13=0,0,ROUND((C12/C13),2))</f>
        <v>45.76</v>
      </c>
      <c r="D14" s="55">
        <f>IF(D13=0,0,ROUND((D12/D13),2))</f>
        <v>0</v>
      </c>
      <c r="E14" s="55">
        <f>IF(E13=0,0,ROUND((E12/E13),2))</f>
        <v>0</v>
      </c>
      <c r="F14" s="56">
        <f>IF(F13=0,0,ROUND((F12/F13),2))</f>
        <v>45.76</v>
      </c>
      <c r="G14" s="57"/>
      <c r="H14" s="58" t="s">
        <v>24</v>
      </c>
      <c r="I14" s="29">
        <f>F10</f>
        <v>90</v>
      </c>
      <c r="J14" s="29">
        <f>F11</f>
        <v>9428</v>
      </c>
      <c r="K14" s="29">
        <f>SUM(I14:J14)</f>
        <v>9518</v>
      </c>
      <c r="L14" s="59">
        <f>F13</f>
        <v>208</v>
      </c>
    </row>
    <row r="15" spans="1:25" ht="13.5" thickBot="1" x14ac:dyDescent="0.25">
      <c r="A15" s="31"/>
      <c r="B15" s="32"/>
      <c r="C15" s="268" t="s">
        <v>29</v>
      </c>
      <c r="D15" s="268"/>
      <c r="E15" s="268"/>
      <c r="F15" s="269"/>
      <c r="G15" s="21"/>
      <c r="H15" s="315"/>
      <c r="I15" s="316"/>
      <c r="J15" s="316"/>
      <c r="K15" s="316"/>
      <c r="L15" s="317"/>
      <c r="N15" s="341" t="s">
        <v>69</v>
      </c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</row>
    <row r="16" spans="1:25" x14ac:dyDescent="0.2">
      <c r="A16" s="16" t="s">
        <v>17</v>
      </c>
      <c r="B16" s="17" t="s">
        <v>18</v>
      </c>
      <c r="C16" s="18">
        <v>21</v>
      </c>
      <c r="D16" s="19"/>
      <c r="E16" s="19"/>
      <c r="F16" s="158">
        <f>SUM(C16:E16)</f>
        <v>21</v>
      </c>
      <c r="G16" s="21"/>
      <c r="H16" s="22" t="s">
        <v>15</v>
      </c>
      <c r="I16" s="19"/>
      <c r="J16" s="19"/>
      <c r="K16" s="23">
        <f>SUM(I16:J16)</f>
        <v>0</v>
      </c>
      <c r="L16" s="33"/>
      <c r="N16" s="169">
        <v>9</v>
      </c>
      <c r="O16" s="169">
        <v>9</v>
      </c>
      <c r="P16" s="169">
        <v>9</v>
      </c>
      <c r="Q16" s="169">
        <v>9</v>
      </c>
      <c r="R16" s="169">
        <v>9</v>
      </c>
      <c r="S16" s="169">
        <v>12</v>
      </c>
      <c r="T16" s="169">
        <v>12</v>
      </c>
      <c r="U16" s="169">
        <v>21</v>
      </c>
      <c r="V16" s="169">
        <v>21</v>
      </c>
      <c r="W16" s="169">
        <v>21</v>
      </c>
      <c r="X16" s="169">
        <f>[1]Šaštín!X16+[1]Holíč!X16+'[1]Mor. Ján'!X16+[1]Lozorno!X16+[1]Sološnica!X16</f>
        <v>0</v>
      </c>
      <c r="Y16" s="169">
        <f>[1]Šaštín!Y16+[1]Holíč!Y16+'[1]Mor. Ján'!Y16+[1]Lozorno!Y16+[1]Sološnica!Y16</f>
        <v>0</v>
      </c>
    </row>
    <row r="17" spans="1:25" ht="13.5" thickBot="1" x14ac:dyDescent="0.25">
      <c r="A17" s="34" t="s">
        <v>20</v>
      </c>
      <c r="B17" s="35" t="s">
        <v>18</v>
      </c>
      <c r="C17" s="36">
        <v>1533</v>
      </c>
      <c r="D17" s="37"/>
      <c r="E17" s="37"/>
      <c r="F17" s="38">
        <f>SUM(C17:E17)</f>
        <v>1533</v>
      </c>
      <c r="G17" s="21"/>
      <c r="H17" s="39" t="s">
        <v>19</v>
      </c>
      <c r="I17" s="37"/>
      <c r="J17" s="37">
        <v>394</v>
      </c>
      <c r="K17" s="40">
        <f>SUM(I17:J17)</f>
        <v>394</v>
      </c>
      <c r="L17" s="41">
        <v>15</v>
      </c>
      <c r="N17" s="170">
        <v>63</v>
      </c>
      <c r="O17" s="170">
        <v>63</v>
      </c>
      <c r="P17" s="170">
        <v>72</v>
      </c>
      <c r="Q17" s="170">
        <v>92</v>
      </c>
      <c r="R17" s="170">
        <v>284</v>
      </c>
      <c r="S17" s="170">
        <v>431</v>
      </c>
      <c r="T17" s="170">
        <v>435</v>
      </c>
      <c r="U17" s="170">
        <v>796</v>
      </c>
      <c r="V17" s="170">
        <v>858</v>
      </c>
      <c r="W17" s="170">
        <v>1004</v>
      </c>
      <c r="X17" s="170">
        <f>[1]Šaštín!X17+[1]Holíč!X17+'[1]Mor. Ján'!X17+[1]Lozorno!X17+[1]Sološnica!X17</f>
        <v>0</v>
      </c>
      <c r="Y17" s="170">
        <f>[1]Šaštín!Y17+[1]Holíč!Y17+'[1]Mor. Ján'!Y17+[1]Lozorno!Y17+[1]Sološnica!Y17</f>
        <v>0</v>
      </c>
    </row>
    <row r="18" spans="1:25" ht="13.5" thickBot="1" x14ac:dyDescent="0.25">
      <c r="A18" s="42" t="s">
        <v>6</v>
      </c>
      <c r="B18" s="156" t="s">
        <v>22</v>
      </c>
      <c r="C18" s="60">
        <f>SUM(C16:C17)</f>
        <v>1554</v>
      </c>
      <c r="D18" s="61">
        <f>SUM(D16:D17)</f>
        <v>0</v>
      </c>
      <c r="E18" s="61">
        <f>SUM(E16:E17)</f>
        <v>0</v>
      </c>
      <c r="F18" s="158">
        <f>SUM(C18:E18)</f>
        <v>1554</v>
      </c>
      <c r="G18" s="21"/>
      <c r="H18" s="22" t="s">
        <v>21</v>
      </c>
      <c r="I18" s="19">
        <v>20</v>
      </c>
      <c r="J18" s="19">
        <v>921</v>
      </c>
      <c r="K18" s="23">
        <f>SUM(I18:J18)</f>
        <v>941</v>
      </c>
      <c r="L18" s="33">
        <v>33</v>
      </c>
      <c r="N18" s="171">
        <f>N16+N17</f>
        <v>72</v>
      </c>
      <c r="O18" s="172">
        <f>O16+O17</f>
        <v>72</v>
      </c>
      <c r="P18" s="173">
        <f>SUM(P16:P17)</f>
        <v>81</v>
      </c>
      <c r="Q18" s="173">
        <f t="shared" ref="Q18:Y18" si="2">SUM(Q16:Q17)</f>
        <v>101</v>
      </c>
      <c r="R18" s="173">
        <f t="shared" si="2"/>
        <v>293</v>
      </c>
      <c r="S18" s="173">
        <f t="shared" si="2"/>
        <v>443</v>
      </c>
      <c r="T18" s="173">
        <f t="shared" si="2"/>
        <v>447</v>
      </c>
      <c r="U18" s="173">
        <f t="shared" si="2"/>
        <v>817</v>
      </c>
      <c r="V18" s="173">
        <f t="shared" si="2"/>
        <v>879</v>
      </c>
      <c r="W18" s="173">
        <f t="shared" si="2"/>
        <v>1025</v>
      </c>
      <c r="X18" s="173">
        <f t="shared" si="2"/>
        <v>0</v>
      </c>
      <c r="Y18" s="174">
        <f t="shared" si="2"/>
        <v>0</v>
      </c>
    </row>
    <row r="19" spans="1:25" x14ac:dyDescent="0.2">
      <c r="A19" s="47" t="s">
        <v>26</v>
      </c>
      <c r="B19" s="48" t="s">
        <v>13</v>
      </c>
      <c r="C19" s="18">
        <v>58</v>
      </c>
      <c r="D19" s="19"/>
      <c r="E19" s="19"/>
      <c r="F19" s="49">
        <f>SUM(C19:E19)</f>
        <v>58</v>
      </c>
      <c r="G19" s="50"/>
      <c r="H19" s="22" t="s">
        <v>23</v>
      </c>
      <c r="I19" s="23">
        <f>I20-I16-I17-I18</f>
        <v>1</v>
      </c>
      <c r="J19" s="23">
        <f>J20-J16-J17-J18</f>
        <v>218</v>
      </c>
      <c r="K19" s="23">
        <f>SUM(I19:J19)</f>
        <v>219</v>
      </c>
      <c r="L19" s="51">
        <f>L20-L16-L17-L18</f>
        <v>10</v>
      </c>
      <c r="N19">
        <v>3</v>
      </c>
      <c r="O19">
        <v>3</v>
      </c>
      <c r="P19">
        <v>3</v>
      </c>
      <c r="R19">
        <v>15</v>
      </c>
      <c r="S19">
        <v>21</v>
      </c>
      <c r="T19">
        <v>21</v>
      </c>
      <c r="U19">
        <v>30</v>
      </c>
      <c r="V19">
        <v>34</v>
      </c>
      <c r="W19">
        <v>40</v>
      </c>
      <c r="X19">
        <f>[1]Šaštín!X19+[1]Holíč!X19+'[1]Mor. Ján'!X19+[1]Lozorno!X19+[1]Sološnica!X19</f>
        <v>0</v>
      </c>
      <c r="Y19">
        <f>[1]Šaštín!Y19+[1]Holíč!Y19+'[1]Mor. Ján'!Y19+[1]Lozorno!Y19+[1]Sološnica!Y19</f>
        <v>0</v>
      </c>
    </row>
    <row r="20" spans="1:25" x14ac:dyDescent="0.2">
      <c r="A20" s="62" t="s">
        <v>27</v>
      </c>
      <c r="B20" s="63" t="s">
        <v>28</v>
      </c>
      <c r="C20" s="65">
        <f>IF(C19=0,0,ROUND((C18/C19),2))</f>
        <v>26.79</v>
      </c>
      <c r="D20" s="65">
        <f>IF(D19=0,0,ROUND((D18/D19),2))</f>
        <v>0</v>
      </c>
      <c r="E20" s="65">
        <f>IF(E19=0,0,ROUND((E18/E19),2))</f>
        <v>0</v>
      </c>
      <c r="F20" s="66">
        <f>IF(F19=0,0,ROUND((F18/F19),2))</f>
        <v>26.79</v>
      </c>
      <c r="G20" s="57"/>
      <c r="H20" s="58" t="s">
        <v>24</v>
      </c>
      <c r="I20" s="29">
        <f>F16</f>
        <v>21</v>
      </c>
      <c r="J20" s="29">
        <f>F17</f>
        <v>1533</v>
      </c>
      <c r="K20" s="29">
        <f>SUM(I20:J20)</f>
        <v>1554</v>
      </c>
      <c r="L20" s="59">
        <f>F19</f>
        <v>58</v>
      </c>
    </row>
    <row r="21" spans="1:25" ht="13.5" thickBot="1" x14ac:dyDescent="0.25">
      <c r="A21" s="318" t="s">
        <v>30</v>
      </c>
      <c r="B21" s="319"/>
      <c r="C21" s="67">
        <v>0</v>
      </c>
      <c r="D21" s="68">
        <v>0</v>
      </c>
      <c r="E21" s="68">
        <v>0</v>
      </c>
      <c r="F21" s="159">
        <f>SUM(C21:E21)</f>
        <v>0</v>
      </c>
      <c r="G21" s="21"/>
      <c r="H21" s="70"/>
      <c r="I21" s="71"/>
      <c r="J21" s="71"/>
      <c r="K21" s="71"/>
      <c r="L21" s="72"/>
    </row>
    <row r="22" spans="1:25" ht="13.5" thickBot="1" x14ac:dyDescent="0.25">
      <c r="A22" s="9"/>
      <c r="B22" s="10"/>
      <c r="C22" s="268" t="s">
        <v>31</v>
      </c>
      <c r="D22" s="268"/>
      <c r="E22" s="268"/>
      <c r="F22" s="269"/>
      <c r="G22" s="21"/>
      <c r="H22" s="12" t="s">
        <v>15</v>
      </c>
      <c r="I22" s="13">
        <v>2</v>
      </c>
      <c r="J22" s="13">
        <v>37</v>
      </c>
      <c r="K22" s="14">
        <f t="shared" ref="K22:K41" si="3">SUM(I22:J22)</f>
        <v>39</v>
      </c>
      <c r="L22" s="15" t="s">
        <v>16</v>
      </c>
      <c r="N22" s="341" t="s">
        <v>70</v>
      </c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</row>
    <row r="23" spans="1:25" x14ac:dyDescent="0.2">
      <c r="A23" s="16" t="s">
        <v>17</v>
      </c>
      <c r="B23" s="17" t="s">
        <v>18</v>
      </c>
      <c r="C23" s="18">
        <v>82</v>
      </c>
      <c r="D23" s="19"/>
      <c r="E23" s="19"/>
      <c r="F23" s="158">
        <f>SUM(C23:E23)</f>
        <v>82</v>
      </c>
      <c r="G23" s="21"/>
      <c r="H23" s="22" t="s">
        <v>19</v>
      </c>
      <c r="I23" s="19"/>
      <c r="J23" s="19">
        <v>82</v>
      </c>
      <c r="K23" s="23">
        <f t="shared" si="3"/>
        <v>82</v>
      </c>
      <c r="L23" s="24" t="s">
        <v>16</v>
      </c>
      <c r="N23" s="169">
        <v>17</v>
      </c>
      <c r="O23" s="169">
        <v>18</v>
      </c>
      <c r="P23" s="169">
        <v>20</v>
      </c>
      <c r="Q23" s="169">
        <v>178</v>
      </c>
      <c r="R23" s="169">
        <v>526</v>
      </c>
      <c r="S23" s="169">
        <v>727</v>
      </c>
      <c r="T23" s="169">
        <v>762</v>
      </c>
      <c r="U23" s="169">
        <v>762</v>
      </c>
      <c r="V23" s="169">
        <v>762</v>
      </c>
      <c r="W23" s="169">
        <v>790</v>
      </c>
      <c r="X23" s="169">
        <f>[1]Šaštín!X23+[1]Holíč!X23+'[1]Mor. Ján'!X23+[1]Lozorno!X23+[1]Sološnica!X23+[1]Benuš!X23</f>
        <v>0</v>
      </c>
      <c r="Y23" s="169">
        <f>[1]Šaštín!Y23+[1]Holíč!Y23+'[1]Mor. Ján'!Y23+[1]Lozorno!Y23+[1]Sološnica!Y23+[1]Benuš!Y23</f>
        <v>0</v>
      </c>
    </row>
    <row r="24" spans="1:25" ht="13.5" thickBot="1" x14ac:dyDescent="0.25">
      <c r="A24" s="16" t="s">
        <v>20</v>
      </c>
      <c r="B24" s="17" t="s">
        <v>18</v>
      </c>
      <c r="C24" s="18">
        <v>278</v>
      </c>
      <c r="D24" s="19"/>
      <c r="E24" s="19"/>
      <c r="F24" s="158">
        <f>SUM(C24:E24)</f>
        <v>278</v>
      </c>
      <c r="G24" s="21"/>
      <c r="H24" s="22" t="s">
        <v>21</v>
      </c>
      <c r="I24" s="19">
        <v>10</v>
      </c>
      <c r="J24" s="19">
        <v>29</v>
      </c>
      <c r="K24" s="23">
        <f t="shared" si="3"/>
        <v>39</v>
      </c>
      <c r="L24" s="24" t="s">
        <v>16</v>
      </c>
      <c r="N24" s="170">
        <v>535</v>
      </c>
      <c r="O24" s="170">
        <v>536</v>
      </c>
      <c r="P24" s="170">
        <v>874</v>
      </c>
      <c r="Q24" s="170">
        <v>1031</v>
      </c>
      <c r="R24" s="170">
        <v>1098</v>
      </c>
      <c r="S24" s="170">
        <v>1261</v>
      </c>
      <c r="T24" s="170">
        <v>1325</v>
      </c>
      <c r="U24" s="170">
        <v>1452</v>
      </c>
      <c r="V24" s="170">
        <v>1506</v>
      </c>
      <c r="W24" s="170">
        <v>1593</v>
      </c>
      <c r="X24" s="170">
        <f>[1]Šaštín!X24+[1]Holíč!X24+'[1]Mor. Ján'!X24+[1]Lozorno!X24+[1]Sološnica!X24</f>
        <v>0</v>
      </c>
      <c r="Y24" s="170">
        <f>[1]Šaštín!Y24+[1]Holíč!Y24+'[1]Mor. Ján'!Y24+[1]Lozorno!Y24+[1]Sološnica!Y24</f>
        <v>0</v>
      </c>
    </row>
    <row r="25" spans="1:25" ht="13.5" thickBot="1" x14ac:dyDescent="0.25">
      <c r="A25" s="289" t="s">
        <v>6</v>
      </c>
      <c r="B25" s="291" t="s">
        <v>22</v>
      </c>
      <c r="C25" s="293">
        <f>SUM(C23:C24)</f>
        <v>360</v>
      </c>
      <c r="D25" s="295">
        <f>SUM(D23:D24)</f>
        <v>0</v>
      </c>
      <c r="E25" s="295">
        <f>E24+E23</f>
        <v>0</v>
      </c>
      <c r="F25" s="297">
        <f>F24+F23</f>
        <v>360</v>
      </c>
      <c r="G25" s="25"/>
      <c r="H25" s="22" t="s">
        <v>23</v>
      </c>
      <c r="I25" s="23">
        <f>I26-I22-I23-I24</f>
        <v>70</v>
      </c>
      <c r="J25" s="23">
        <f>J26-J22-J23-J24</f>
        <v>130</v>
      </c>
      <c r="K25" s="23">
        <f t="shared" si="3"/>
        <v>200</v>
      </c>
      <c r="L25" s="27" t="s">
        <v>16</v>
      </c>
      <c r="N25" s="171">
        <f>N23+N24</f>
        <v>552</v>
      </c>
      <c r="O25" s="172">
        <f>O23+O24</f>
        <v>554</v>
      </c>
      <c r="P25" s="173">
        <f>SUM(P23:P24)</f>
        <v>894</v>
      </c>
      <c r="Q25" s="173">
        <f t="shared" ref="Q25:Y25" si="4">SUM(Q23:Q24)</f>
        <v>1209</v>
      </c>
      <c r="R25" s="173">
        <f t="shared" si="4"/>
        <v>1624</v>
      </c>
      <c r="S25" s="173">
        <f t="shared" si="4"/>
        <v>1988</v>
      </c>
      <c r="T25" s="173">
        <f t="shared" si="4"/>
        <v>2087</v>
      </c>
      <c r="U25" s="173">
        <f t="shared" si="4"/>
        <v>2214</v>
      </c>
      <c r="V25" s="173">
        <f t="shared" si="4"/>
        <v>2268</v>
      </c>
      <c r="W25" s="173">
        <f t="shared" si="4"/>
        <v>2383</v>
      </c>
      <c r="X25" s="173">
        <f t="shared" si="4"/>
        <v>0</v>
      </c>
      <c r="Y25" s="174">
        <f t="shared" si="4"/>
        <v>0</v>
      </c>
    </row>
    <row r="26" spans="1:25" ht="13.5" thickBot="1" x14ac:dyDescent="0.25">
      <c r="A26" s="290"/>
      <c r="B26" s="292"/>
      <c r="C26" s="294"/>
      <c r="D26" s="296"/>
      <c r="E26" s="296"/>
      <c r="F26" s="298"/>
      <c r="G26" s="25"/>
      <c r="H26" s="73" t="s">
        <v>24</v>
      </c>
      <c r="I26" s="74">
        <f>F23</f>
        <v>82</v>
      </c>
      <c r="J26" s="74">
        <f>F24</f>
        <v>278</v>
      </c>
      <c r="K26" s="74">
        <f t="shared" si="3"/>
        <v>360</v>
      </c>
      <c r="L26" s="75" t="s">
        <v>16</v>
      </c>
    </row>
    <row r="27" spans="1:25" ht="13.5" thickBot="1" x14ac:dyDescent="0.25">
      <c r="A27" s="9"/>
      <c r="B27" s="10"/>
      <c r="C27" s="268" t="s">
        <v>32</v>
      </c>
      <c r="D27" s="268"/>
      <c r="E27" s="268"/>
      <c r="F27" s="269"/>
      <c r="G27" s="21"/>
      <c r="H27" s="12" t="s">
        <v>15</v>
      </c>
      <c r="I27" s="13"/>
      <c r="J27" s="13"/>
      <c r="K27" s="14">
        <f t="shared" si="3"/>
        <v>0</v>
      </c>
      <c r="L27" s="15" t="s">
        <v>16</v>
      </c>
      <c r="N27" s="341" t="s">
        <v>71</v>
      </c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</row>
    <row r="28" spans="1:25" x14ac:dyDescent="0.2">
      <c r="A28" s="16" t="s">
        <v>17</v>
      </c>
      <c r="B28" s="17" t="s">
        <v>18</v>
      </c>
      <c r="C28" s="76">
        <v>0</v>
      </c>
      <c r="D28" s="19">
        <v>0</v>
      </c>
      <c r="E28" s="19">
        <v>0</v>
      </c>
      <c r="F28" s="158">
        <f>SUM(C28:E28)</f>
        <v>0</v>
      </c>
      <c r="G28" s="21"/>
      <c r="H28" s="22" t="s">
        <v>19</v>
      </c>
      <c r="I28" s="19"/>
      <c r="J28" s="19"/>
      <c r="K28" s="23">
        <f t="shared" si="3"/>
        <v>0</v>
      </c>
      <c r="L28" s="24" t="s">
        <v>16</v>
      </c>
      <c r="N28" s="169"/>
      <c r="O28" s="169"/>
      <c r="P28" s="169"/>
      <c r="Q28" s="169"/>
      <c r="R28" s="169"/>
      <c r="S28" s="169"/>
      <c r="T28" s="169"/>
      <c r="U28" s="169"/>
      <c r="V28" s="169"/>
      <c r="W28" s="169">
        <f>[1]Šaštín!W28+[1]Holíč!W28+'[1]Mor. Ján'!W28+[1]Lozorno!W28+[1]Sološnica!W28</f>
        <v>0</v>
      </c>
      <c r="X28" s="169">
        <f>[1]Šaštín!X28+[1]Holíč!X28+'[1]Mor. Ján'!X28+[1]Lozorno!X28+[1]Sološnica!X28</f>
        <v>0</v>
      </c>
      <c r="Y28" s="169">
        <f>[1]Šaštín!Y28+[1]Holíč!Y28+'[1]Mor. Ján'!Y28+[1]Lozorno!Y28+[1]Sološnica!Y28</f>
        <v>0</v>
      </c>
    </row>
    <row r="29" spans="1:25" ht="13.5" thickBot="1" x14ac:dyDescent="0.25">
      <c r="A29" s="16" t="s">
        <v>20</v>
      </c>
      <c r="B29" s="17" t="s">
        <v>18</v>
      </c>
      <c r="C29" s="76">
        <v>0</v>
      </c>
      <c r="D29" s="19">
        <v>0</v>
      </c>
      <c r="E29" s="19">
        <v>0</v>
      </c>
      <c r="F29" s="158">
        <f>SUM(C29:E29)</f>
        <v>0</v>
      </c>
      <c r="G29" s="21"/>
      <c r="H29" s="22" t="s">
        <v>21</v>
      </c>
      <c r="I29" s="19"/>
      <c r="J29" s="19"/>
      <c r="K29" s="23">
        <f t="shared" si="3"/>
        <v>0</v>
      </c>
      <c r="L29" s="24" t="s">
        <v>16</v>
      </c>
      <c r="N29" s="170"/>
      <c r="O29" s="170"/>
      <c r="P29" s="170"/>
      <c r="Q29" s="170"/>
      <c r="R29" s="170">
        <v>91</v>
      </c>
      <c r="S29" s="170">
        <v>91</v>
      </c>
      <c r="T29" s="170">
        <v>91</v>
      </c>
      <c r="U29" s="170">
        <v>91</v>
      </c>
      <c r="V29" s="170">
        <v>91</v>
      </c>
      <c r="W29" s="170">
        <v>91</v>
      </c>
      <c r="X29" s="170">
        <f>[1]Šaštín!X29+[1]Holíč!X29+'[1]Mor. Ján'!X29+[1]Lozorno!X29+[1]Sološnica!X29</f>
        <v>0</v>
      </c>
      <c r="Y29" s="170">
        <f>[1]Šaštín!Y29+[1]Holíč!Y29+'[1]Mor. Ján'!Y29+[1]Lozorno!Y29+[1]Sološnica!Y29</f>
        <v>0</v>
      </c>
    </row>
    <row r="30" spans="1:25" ht="13.5" thickBot="1" x14ac:dyDescent="0.25">
      <c r="A30" s="305" t="s">
        <v>6</v>
      </c>
      <c r="B30" s="307" t="s">
        <v>22</v>
      </c>
      <c r="C30" s="309">
        <f>SUM(C28:C29)</f>
        <v>0</v>
      </c>
      <c r="D30" s="311">
        <f>SUM(D28:D29)</f>
        <v>0</v>
      </c>
      <c r="E30" s="311">
        <f>SUM(E28:E29)</f>
        <v>0</v>
      </c>
      <c r="F30" s="313">
        <f>SUM(C30:E30)</f>
        <v>0</v>
      </c>
      <c r="G30" s="21"/>
      <c r="H30" s="22" t="s">
        <v>23</v>
      </c>
      <c r="I30" s="23">
        <f>I31-I27-I28-I29</f>
        <v>0</v>
      </c>
      <c r="J30" s="23">
        <f>J31-J27-J28-J29</f>
        <v>0</v>
      </c>
      <c r="K30" s="23">
        <f t="shared" si="3"/>
        <v>0</v>
      </c>
      <c r="L30" s="27" t="s">
        <v>16</v>
      </c>
      <c r="N30" s="171">
        <f>N28+N29</f>
        <v>0</v>
      </c>
      <c r="O30" s="172">
        <f>O28+O29</f>
        <v>0</v>
      </c>
      <c r="P30" s="173">
        <f>SUM(P28:P29)</f>
        <v>0</v>
      </c>
      <c r="Q30" s="173">
        <f t="shared" ref="Q30:Y30" si="5">SUM(Q28:Q29)</f>
        <v>0</v>
      </c>
      <c r="R30" s="173">
        <f t="shared" si="5"/>
        <v>91</v>
      </c>
      <c r="S30" s="173">
        <f t="shared" si="5"/>
        <v>91</v>
      </c>
      <c r="T30" s="173">
        <f t="shared" si="5"/>
        <v>91</v>
      </c>
      <c r="U30" s="173">
        <f t="shared" si="5"/>
        <v>91</v>
      </c>
      <c r="V30" s="173">
        <f t="shared" si="5"/>
        <v>91</v>
      </c>
      <c r="W30" s="173">
        <f t="shared" si="5"/>
        <v>91</v>
      </c>
      <c r="X30" s="173">
        <f t="shared" si="5"/>
        <v>0</v>
      </c>
      <c r="Y30" s="174">
        <f t="shared" si="5"/>
        <v>0</v>
      </c>
    </row>
    <row r="31" spans="1:25" ht="13.5" thickBot="1" x14ac:dyDescent="0.25">
      <c r="A31" s="306"/>
      <c r="B31" s="308"/>
      <c r="C31" s="310"/>
      <c r="D31" s="312"/>
      <c r="E31" s="312"/>
      <c r="F31" s="314"/>
      <c r="G31" s="21"/>
      <c r="H31" s="73" t="s">
        <v>24</v>
      </c>
      <c r="I31" s="74">
        <f>F28</f>
        <v>0</v>
      </c>
      <c r="J31" s="74">
        <f>F29</f>
        <v>0</v>
      </c>
      <c r="K31" s="74">
        <f t="shared" si="3"/>
        <v>0</v>
      </c>
      <c r="L31" s="75" t="s">
        <v>16</v>
      </c>
    </row>
    <row r="32" spans="1:25" ht="15.75" thickBot="1" x14ac:dyDescent="0.3">
      <c r="A32" s="9"/>
      <c r="B32" s="10"/>
      <c r="C32" s="268" t="s">
        <v>33</v>
      </c>
      <c r="D32" s="268"/>
      <c r="E32" s="268"/>
      <c r="F32" s="269"/>
      <c r="G32" s="21"/>
      <c r="H32" s="12" t="s">
        <v>15</v>
      </c>
      <c r="I32" s="14">
        <f t="shared" ref="I32:J35" si="6">SUM(I4,I10,I22,I27)</f>
        <v>230</v>
      </c>
      <c r="J32" s="14">
        <f t="shared" si="6"/>
        <v>6370</v>
      </c>
      <c r="K32" s="14">
        <f>SUM(I32:J32)</f>
        <v>6600</v>
      </c>
      <c r="L32" s="15" t="s">
        <v>16</v>
      </c>
      <c r="N32" s="343" t="s">
        <v>72</v>
      </c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</row>
    <row r="33" spans="1:25" x14ac:dyDescent="0.2">
      <c r="A33" s="77" t="s">
        <v>17</v>
      </c>
      <c r="B33" s="78" t="s">
        <v>18</v>
      </c>
      <c r="C33" s="79">
        <f t="shared" ref="C33:E34" si="7">SUM(C5,C10,C23,C28)</f>
        <v>500</v>
      </c>
      <c r="D33" s="23">
        <f t="shared" si="7"/>
        <v>0</v>
      </c>
      <c r="E33" s="23">
        <f t="shared" si="7"/>
        <v>0</v>
      </c>
      <c r="F33" s="158">
        <f>SUM(C33:E33)</f>
        <v>500</v>
      </c>
      <c r="G33" s="21"/>
      <c r="H33" s="22" t="s">
        <v>19</v>
      </c>
      <c r="I33" s="23">
        <f t="shared" si="6"/>
        <v>0</v>
      </c>
      <c r="J33" s="23">
        <f t="shared" si="6"/>
        <v>6000</v>
      </c>
      <c r="K33" s="23">
        <f t="shared" si="3"/>
        <v>6000</v>
      </c>
      <c r="L33" s="24" t="s">
        <v>16</v>
      </c>
      <c r="M33" s="165"/>
      <c r="N33" s="175">
        <f>N5+N10+N23+N28</f>
        <v>52</v>
      </c>
      <c r="O33" s="175">
        <f t="shared" ref="O33:Y34" si="8">O5+O10+O23+O28</f>
        <v>96</v>
      </c>
      <c r="P33" s="175">
        <f t="shared" si="8"/>
        <v>222</v>
      </c>
      <c r="Q33" s="175">
        <f t="shared" si="8"/>
        <v>434</v>
      </c>
      <c r="R33" s="175">
        <f t="shared" si="8"/>
        <v>782</v>
      </c>
      <c r="S33" s="175">
        <f t="shared" si="8"/>
        <v>990</v>
      </c>
      <c r="T33" s="175">
        <f t="shared" si="8"/>
        <v>1025</v>
      </c>
      <c r="U33" s="175">
        <f t="shared" si="8"/>
        <v>1034</v>
      </c>
      <c r="V33" s="175">
        <f t="shared" si="8"/>
        <v>1034</v>
      </c>
      <c r="W33" s="175">
        <f t="shared" si="8"/>
        <v>1070</v>
      </c>
      <c r="X33" s="175">
        <f t="shared" si="8"/>
        <v>0</v>
      </c>
      <c r="Y33" s="175">
        <f t="shared" si="8"/>
        <v>0</v>
      </c>
    </row>
    <row r="34" spans="1:25" x14ac:dyDescent="0.2">
      <c r="A34" s="77" t="s">
        <v>20</v>
      </c>
      <c r="B34" s="78" t="s">
        <v>18</v>
      </c>
      <c r="C34" s="79">
        <f t="shared" si="7"/>
        <v>22800</v>
      </c>
      <c r="D34" s="23">
        <f t="shared" si="7"/>
        <v>0</v>
      </c>
      <c r="E34" s="23">
        <f t="shared" si="7"/>
        <v>0</v>
      </c>
      <c r="F34" s="158">
        <f>SUM(C34:E34)</f>
        <v>22800</v>
      </c>
      <c r="G34" s="21"/>
      <c r="H34" s="22" t="s">
        <v>21</v>
      </c>
      <c r="I34" s="23">
        <f t="shared" si="6"/>
        <v>30</v>
      </c>
      <c r="J34" s="23">
        <f t="shared" si="6"/>
        <v>4870</v>
      </c>
      <c r="K34" s="23">
        <f t="shared" si="3"/>
        <v>4900</v>
      </c>
      <c r="L34" s="24" t="s">
        <v>16</v>
      </c>
      <c r="M34" s="165"/>
      <c r="N34" s="176">
        <f>N6+N11+N24+N29</f>
        <v>1194</v>
      </c>
      <c r="O34" s="176">
        <f t="shared" si="8"/>
        <v>3506</v>
      </c>
      <c r="P34" s="176">
        <f t="shared" si="8"/>
        <v>6738</v>
      </c>
      <c r="Q34" s="176">
        <f t="shared" si="8"/>
        <v>9218</v>
      </c>
      <c r="R34" s="176">
        <f t="shared" si="8"/>
        <v>11256</v>
      </c>
      <c r="S34" s="176">
        <f t="shared" si="8"/>
        <v>12690</v>
      </c>
      <c r="T34" s="176">
        <f t="shared" si="8"/>
        <v>13734</v>
      </c>
      <c r="U34" s="176">
        <f t="shared" si="8"/>
        <v>16179</v>
      </c>
      <c r="V34" s="176">
        <f t="shared" si="8"/>
        <v>18149</v>
      </c>
      <c r="W34" s="176">
        <f t="shared" si="8"/>
        <v>20392</v>
      </c>
      <c r="X34" s="176">
        <f t="shared" si="8"/>
        <v>0</v>
      </c>
      <c r="Y34" s="176">
        <f t="shared" si="8"/>
        <v>0</v>
      </c>
    </row>
    <row r="35" spans="1:25" ht="13.5" thickBot="1" x14ac:dyDescent="0.25">
      <c r="A35" s="289" t="s">
        <v>6</v>
      </c>
      <c r="B35" s="291" t="s">
        <v>22</v>
      </c>
      <c r="C35" s="293">
        <f>SUM(C33:C34)</f>
        <v>23300</v>
      </c>
      <c r="D35" s="295">
        <f>SUM(D33:D34)</f>
        <v>0</v>
      </c>
      <c r="E35" s="295">
        <f>SUM(E33:E34)</f>
        <v>0</v>
      </c>
      <c r="F35" s="297">
        <f>SUM(C35:E35)</f>
        <v>23300</v>
      </c>
      <c r="G35" s="25"/>
      <c r="H35" s="22" t="s">
        <v>23</v>
      </c>
      <c r="I35" s="23">
        <f t="shared" si="6"/>
        <v>240</v>
      </c>
      <c r="J35" s="23">
        <f t="shared" si="6"/>
        <v>5560</v>
      </c>
      <c r="K35" s="23">
        <f t="shared" si="3"/>
        <v>5800</v>
      </c>
      <c r="L35" s="27" t="s">
        <v>16</v>
      </c>
      <c r="M35" s="165"/>
      <c r="N35" s="177">
        <f>N33+N34</f>
        <v>1246</v>
      </c>
      <c r="O35" s="177">
        <f t="shared" ref="O35:Y35" si="9">O33+O34</f>
        <v>3602</v>
      </c>
      <c r="P35" s="177">
        <f t="shared" si="9"/>
        <v>6960</v>
      </c>
      <c r="Q35" s="177">
        <f t="shared" si="9"/>
        <v>9652</v>
      </c>
      <c r="R35" s="177">
        <f t="shared" si="9"/>
        <v>12038</v>
      </c>
      <c r="S35" s="177">
        <f t="shared" si="9"/>
        <v>13680</v>
      </c>
      <c r="T35" s="177">
        <f t="shared" si="9"/>
        <v>14759</v>
      </c>
      <c r="U35" s="177">
        <f t="shared" si="9"/>
        <v>17213</v>
      </c>
      <c r="V35" s="177">
        <f t="shared" si="9"/>
        <v>19183</v>
      </c>
      <c r="W35" s="177">
        <f t="shared" si="9"/>
        <v>21462</v>
      </c>
      <c r="X35" s="177">
        <f t="shared" si="9"/>
        <v>0</v>
      </c>
      <c r="Y35" s="177">
        <f t="shared" si="9"/>
        <v>0</v>
      </c>
    </row>
    <row r="36" spans="1:25" ht="13.5" thickBot="1" x14ac:dyDescent="0.25">
      <c r="A36" s="290"/>
      <c r="B36" s="292"/>
      <c r="C36" s="294"/>
      <c r="D36" s="296"/>
      <c r="E36" s="296"/>
      <c r="F36" s="298"/>
      <c r="G36" s="25"/>
      <c r="H36" s="73" t="s">
        <v>24</v>
      </c>
      <c r="I36" s="74">
        <f>SUM(I32:I35)</f>
        <v>500</v>
      </c>
      <c r="J36" s="74">
        <f>SUM(J32:J35)</f>
        <v>22800</v>
      </c>
      <c r="K36" s="74">
        <f t="shared" si="3"/>
        <v>23300</v>
      </c>
      <c r="L36" s="75" t="s">
        <v>16</v>
      </c>
    </row>
    <row r="37" spans="1:25" ht="13.5" thickBot="1" x14ac:dyDescent="0.25">
      <c r="A37" s="9"/>
      <c r="B37" s="10"/>
      <c r="C37" s="268" t="s">
        <v>34</v>
      </c>
      <c r="D37" s="268"/>
      <c r="E37" s="268"/>
      <c r="F37" s="269"/>
      <c r="G37" s="21"/>
      <c r="H37" s="12" t="s">
        <v>15</v>
      </c>
      <c r="I37" s="13"/>
      <c r="J37" s="13">
        <v>100</v>
      </c>
      <c r="K37" s="14">
        <f t="shared" si="3"/>
        <v>100</v>
      </c>
      <c r="L37" s="15" t="s">
        <v>16</v>
      </c>
      <c r="N37" s="341" t="s">
        <v>73</v>
      </c>
      <c r="O37" s="341"/>
      <c r="P37" s="341"/>
      <c r="Q37" s="341"/>
      <c r="R37" s="341"/>
      <c r="S37" s="341"/>
      <c r="T37" s="341"/>
      <c r="U37" s="341"/>
      <c r="V37" s="341"/>
      <c r="W37" s="341"/>
      <c r="X37" s="341"/>
      <c r="Y37" s="341"/>
    </row>
    <row r="38" spans="1:25" x14ac:dyDescent="0.2">
      <c r="A38" s="16" t="s">
        <v>17</v>
      </c>
      <c r="B38" s="17" t="s">
        <v>18</v>
      </c>
      <c r="C38" s="18">
        <v>100</v>
      </c>
      <c r="D38" s="19">
        <v>0</v>
      </c>
      <c r="E38" s="19">
        <v>0</v>
      </c>
      <c r="F38" s="158">
        <f>SUM(C38:E38)</f>
        <v>100</v>
      </c>
      <c r="G38" s="21"/>
      <c r="H38" s="22" t="s">
        <v>19</v>
      </c>
      <c r="I38" s="19"/>
      <c r="J38" s="19">
        <v>500</v>
      </c>
      <c r="K38" s="23">
        <f t="shared" si="3"/>
        <v>500</v>
      </c>
      <c r="L38" s="24" t="s">
        <v>16</v>
      </c>
      <c r="N38" s="169">
        <v>10</v>
      </c>
      <c r="O38" s="169">
        <v>10</v>
      </c>
      <c r="P38" s="169">
        <v>10</v>
      </c>
      <c r="Q38" s="169">
        <v>10</v>
      </c>
      <c r="R38" s="169">
        <v>10</v>
      </c>
      <c r="S38" s="169">
        <v>10</v>
      </c>
      <c r="T38" s="169">
        <v>10</v>
      </c>
      <c r="U38" s="169">
        <v>10</v>
      </c>
      <c r="V38" s="169">
        <v>10</v>
      </c>
      <c r="W38" s="169">
        <v>10</v>
      </c>
      <c r="X38" s="169">
        <f>[1]Šaštín!X38+[1]Holíč!X38+'[1]Mor. Ján'!X38+[1]Lozorno!X38+[1]Sološnica!X38</f>
        <v>0</v>
      </c>
      <c r="Y38" s="169">
        <f>[1]Šaštín!Y38+[1]Holíč!Y38+'[1]Mor. Ján'!Y38+[1]Lozorno!Y38+[1]Sološnica!Y38</f>
        <v>0</v>
      </c>
    </row>
    <row r="39" spans="1:25" ht="13.5" thickBot="1" x14ac:dyDescent="0.25">
      <c r="A39" s="16" t="s">
        <v>20</v>
      </c>
      <c r="B39" s="17" t="s">
        <v>18</v>
      </c>
      <c r="C39" s="18">
        <v>1400</v>
      </c>
      <c r="D39" s="19"/>
      <c r="E39" s="19">
        <v>0</v>
      </c>
      <c r="F39" s="158">
        <f>SUM(C39:E39)</f>
        <v>1400</v>
      </c>
      <c r="G39" s="21"/>
      <c r="H39" s="22" t="s">
        <v>21</v>
      </c>
      <c r="I39" s="19"/>
      <c r="J39" s="19">
        <v>500</v>
      </c>
      <c r="K39" s="23">
        <f t="shared" si="3"/>
        <v>500</v>
      </c>
      <c r="L39" s="24" t="s">
        <v>16</v>
      </c>
      <c r="N39" s="170"/>
      <c r="O39" s="170">
        <v>20</v>
      </c>
      <c r="P39" s="170">
        <v>82</v>
      </c>
      <c r="Q39" s="170">
        <v>227</v>
      </c>
      <c r="R39" s="170">
        <v>508</v>
      </c>
      <c r="S39" s="170">
        <v>602</v>
      </c>
      <c r="T39" s="170">
        <v>796</v>
      </c>
      <c r="U39" s="170">
        <v>1007</v>
      </c>
      <c r="V39" s="170">
        <v>1119</v>
      </c>
      <c r="W39" s="170">
        <v>1284</v>
      </c>
      <c r="X39" s="170">
        <f>[1]Šaštín!X39+[1]Holíč!X39+'[1]Mor. Ján'!X39+[1]Lozorno!X39+[1]Sološnica!X39</f>
        <v>0</v>
      </c>
      <c r="Y39" s="170">
        <f>[1]Šaštín!Y39+[1]Holíč!Y39+'[1]Mor. Ján'!Y39+[1]Lozorno!Y39+[1]Sološnica!Y39</f>
        <v>0</v>
      </c>
    </row>
    <row r="40" spans="1:25" ht="13.5" thickBot="1" x14ac:dyDescent="0.25">
      <c r="A40" s="289" t="s">
        <v>6</v>
      </c>
      <c r="B40" s="291" t="s">
        <v>22</v>
      </c>
      <c r="C40" s="293">
        <f>SUM(C38:C39)</f>
        <v>1500</v>
      </c>
      <c r="D40" s="295">
        <f>SUM(D38:D39)</f>
        <v>0</v>
      </c>
      <c r="E40" s="295">
        <f>SUM(E38:E39)</f>
        <v>0</v>
      </c>
      <c r="F40" s="297">
        <f>SUM(C40:E40)</f>
        <v>1500</v>
      </c>
      <c r="G40" s="25"/>
      <c r="H40" s="22" t="s">
        <v>23</v>
      </c>
      <c r="I40" s="23">
        <f>I41-I37-I38-I39</f>
        <v>100</v>
      </c>
      <c r="J40" s="23">
        <f>J41-J37-J38-J39</f>
        <v>300</v>
      </c>
      <c r="K40" s="23">
        <f t="shared" si="3"/>
        <v>400</v>
      </c>
      <c r="L40" s="27" t="s">
        <v>16</v>
      </c>
      <c r="N40" s="171">
        <f>N38+N39</f>
        <v>10</v>
      </c>
      <c r="O40" s="172">
        <f>O38+O39</f>
        <v>30</v>
      </c>
      <c r="P40" s="173">
        <f>SUM(P38:P39)</f>
        <v>92</v>
      </c>
      <c r="Q40" s="173">
        <f t="shared" ref="Q40:Y40" si="10">SUM(Q38:Q39)</f>
        <v>237</v>
      </c>
      <c r="R40" s="173">
        <f t="shared" si="10"/>
        <v>518</v>
      </c>
      <c r="S40" s="173">
        <f t="shared" si="10"/>
        <v>612</v>
      </c>
      <c r="T40" s="173">
        <f t="shared" si="10"/>
        <v>806</v>
      </c>
      <c r="U40" s="173">
        <f t="shared" si="10"/>
        <v>1017</v>
      </c>
      <c r="V40" s="173">
        <f t="shared" si="10"/>
        <v>1129</v>
      </c>
      <c r="W40" s="173">
        <f t="shared" si="10"/>
        <v>1294</v>
      </c>
      <c r="X40" s="173">
        <f t="shared" si="10"/>
        <v>0</v>
      </c>
      <c r="Y40" s="174">
        <f t="shared" si="10"/>
        <v>0</v>
      </c>
    </row>
    <row r="41" spans="1:25" ht="13.5" thickBot="1" x14ac:dyDescent="0.25">
      <c r="A41" s="290"/>
      <c r="B41" s="292"/>
      <c r="C41" s="294"/>
      <c r="D41" s="296"/>
      <c r="E41" s="296"/>
      <c r="F41" s="298"/>
      <c r="G41" s="25"/>
      <c r="H41" s="73" t="s">
        <v>24</v>
      </c>
      <c r="I41" s="74">
        <f>F38+F43</f>
        <v>100</v>
      </c>
      <c r="J41" s="74">
        <f>F39+F44</f>
        <v>1400</v>
      </c>
      <c r="K41" s="74">
        <f t="shared" si="3"/>
        <v>1500</v>
      </c>
      <c r="L41" s="75" t="s">
        <v>16</v>
      </c>
    </row>
    <row r="42" spans="1:25" ht="13.5" thickBot="1" x14ac:dyDescent="0.25">
      <c r="A42" s="9"/>
      <c r="B42" s="10"/>
      <c r="C42" s="268" t="s">
        <v>35</v>
      </c>
      <c r="D42" s="268"/>
      <c r="E42" s="268"/>
      <c r="F42" s="269"/>
      <c r="G42" s="21"/>
      <c r="H42" s="80"/>
      <c r="I42" s="81"/>
      <c r="J42" s="81"/>
      <c r="K42" s="82"/>
      <c r="L42" s="82"/>
    </row>
    <row r="43" spans="1:25" ht="18" thickBot="1" x14ac:dyDescent="0.3">
      <c r="A43" s="16" t="s">
        <v>17</v>
      </c>
      <c r="B43" s="17" t="s">
        <v>18</v>
      </c>
      <c r="C43" s="18">
        <v>0</v>
      </c>
      <c r="D43" s="19">
        <v>0</v>
      </c>
      <c r="E43" s="19">
        <v>0</v>
      </c>
      <c r="F43" s="158">
        <f t="shared" ref="F43:F48" si="11">SUM(C43:E43)</f>
        <v>0</v>
      </c>
      <c r="G43" s="21"/>
      <c r="H43" s="285" t="s">
        <v>36</v>
      </c>
      <c r="I43" s="268"/>
      <c r="J43" s="268"/>
      <c r="K43" s="268"/>
      <c r="L43" s="269"/>
      <c r="N43" s="343" t="s">
        <v>74</v>
      </c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</row>
    <row r="44" spans="1:25" x14ac:dyDescent="0.2">
      <c r="A44" s="16" t="s">
        <v>20</v>
      </c>
      <c r="B44" s="17" t="s">
        <v>18</v>
      </c>
      <c r="C44" s="18"/>
      <c r="D44" s="19">
        <v>0</v>
      </c>
      <c r="E44" s="19">
        <v>0</v>
      </c>
      <c r="F44" s="158">
        <f t="shared" si="11"/>
        <v>0</v>
      </c>
      <c r="G44" s="21"/>
      <c r="H44" s="22" t="s">
        <v>15</v>
      </c>
      <c r="I44" s="23">
        <f>I32-I37</f>
        <v>230</v>
      </c>
      <c r="J44" s="23">
        <f t="shared" ref="I44:J46" si="12">J32-J37</f>
        <v>6270</v>
      </c>
      <c r="K44" s="23">
        <f>SUM(I44:J44)</f>
        <v>6500</v>
      </c>
      <c r="L44" s="83" t="s">
        <v>16</v>
      </c>
      <c r="N44" s="175">
        <f>N33-N38</f>
        <v>42</v>
      </c>
      <c r="O44" s="175">
        <f t="shared" ref="O44:Y44" si="13">O33-O38</f>
        <v>86</v>
      </c>
      <c r="P44" s="175">
        <f t="shared" si="13"/>
        <v>212</v>
      </c>
      <c r="Q44" s="175">
        <f t="shared" si="13"/>
        <v>424</v>
      </c>
      <c r="R44" s="175">
        <f t="shared" si="13"/>
        <v>772</v>
      </c>
      <c r="S44" s="175">
        <f t="shared" si="13"/>
        <v>980</v>
      </c>
      <c r="T44" s="175">
        <f t="shared" si="13"/>
        <v>1015</v>
      </c>
      <c r="U44" s="175">
        <f t="shared" si="13"/>
        <v>1024</v>
      </c>
      <c r="V44" s="175">
        <f t="shared" si="13"/>
        <v>1024</v>
      </c>
      <c r="W44" s="175">
        <f t="shared" si="13"/>
        <v>1060</v>
      </c>
      <c r="X44" s="175">
        <f t="shared" si="13"/>
        <v>0</v>
      </c>
      <c r="Y44" s="175">
        <f t="shared" si="13"/>
        <v>0</v>
      </c>
    </row>
    <row r="45" spans="1:25" ht="13.5" thickBot="1" x14ac:dyDescent="0.25">
      <c r="A45" s="84" t="s">
        <v>6</v>
      </c>
      <c r="B45" s="157" t="s">
        <v>22</v>
      </c>
      <c r="C45" s="86">
        <f>SUM(C43:C44)</f>
        <v>0</v>
      </c>
      <c r="D45" s="74">
        <f>SUM(D43:D44)</f>
        <v>0</v>
      </c>
      <c r="E45" s="74">
        <f>SUM(E43:E44)</f>
        <v>0</v>
      </c>
      <c r="F45" s="159">
        <f t="shared" si="11"/>
        <v>0</v>
      </c>
      <c r="G45" s="21"/>
      <c r="H45" s="22" t="s">
        <v>19</v>
      </c>
      <c r="I45" s="23">
        <f t="shared" si="12"/>
        <v>0</v>
      </c>
      <c r="J45" s="23">
        <f t="shared" si="12"/>
        <v>5500</v>
      </c>
      <c r="K45" s="23">
        <f>SUM(I45:J45)</f>
        <v>5500</v>
      </c>
      <c r="L45" s="27" t="s">
        <v>16</v>
      </c>
      <c r="N45" s="176">
        <f>N34-N39</f>
        <v>1194</v>
      </c>
      <c r="O45" s="176">
        <f t="shared" ref="O45:Y45" si="14">O34-O39</f>
        <v>3486</v>
      </c>
      <c r="P45" s="176">
        <f t="shared" si="14"/>
        <v>6656</v>
      </c>
      <c r="Q45" s="176">
        <f t="shared" si="14"/>
        <v>8991</v>
      </c>
      <c r="R45" s="176">
        <f t="shared" si="14"/>
        <v>10748</v>
      </c>
      <c r="S45" s="176">
        <f t="shared" si="14"/>
        <v>12088</v>
      </c>
      <c r="T45" s="176">
        <f t="shared" si="14"/>
        <v>12938</v>
      </c>
      <c r="U45" s="176">
        <f t="shared" si="14"/>
        <v>15172</v>
      </c>
      <c r="V45" s="176">
        <f t="shared" si="14"/>
        <v>17030</v>
      </c>
      <c r="W45" s="176">
        <f t="shared" si="14"/>
        <v>19108</v>
      </c>
      <c r="X45" s="176">
        <f t="shared" si="14"/>
        <v>0</v>
      </c>
      <c r="Y45" s="176">
        <f t="shared" si="14"/>
        <v>0</v>
      </c>
    </row>
    <row r="46" spans="1:25" ht="13.5" thickBot="1" x14ac:dyDescent="0.25">
      <c r="A46" s="87" t="s">
        <v>37</v>
      </c>
      <c r="B46" s="88" t="s">
        <v>13</v>
      </c>
      <c r="C46" s="89">
        <v>0.9</v>
      </c>
      <c r="D46" s="13"/>
      <c r="E46" s="13"/>
      <c r="F46" s="90">
        <f t="shared" si="11"/>
        <v>0.9</v>
      </c>
      <c r="G46" s="21"/>
      <c r="H46" s="22" t="s">
        <v>21</v>
      </c>
      <c r="I46" s="23">
        <f t="shared" si="12"/>
        <v>30</v>
      </c>
      <c r="J46" s="23">
        <f>J34-J39</f>
        <v>4370</v>
      </c>
      <c r="K46" s="23">
        <f>SUM(I46:J46)</f>
        <v>4400</v>
      </c>
      <c r="L46" s="27" t="s">
        <v>16</v>
      </c>
      <c r="N46" s="177">
        <f>N44+N45</f>
        <v>1236</v>
      </c>
      <c r="O46" s="177">
        <f t="shared" ref="O46:Y46" si="15">O44+O45</f>
        <v>3572</v>
      </c>
      <c r="P46" s="177">
        <f t="shared" si="15"/>
        <v>6868</v>
      </c>
      <c r="Q46" s="177">
        <f t="shared" si="15"/>
        <v>9415</v>
      </c>
      <c r="R46" s="177">
        <f t="shared" si="15"/>
        <v>11520</v>
      </c>
      <c r="S46" s="177">
        <f t="shared" si="15"/>
        <v>13068</v>
      </c>
      <c r="T46" s="177">
        <f t="shared" si="15"/>
        <v>13953</v>
      </c>
      <c r="U46" s="177">
        <f t="shared" si="15"/>
        <v>16196</v>
      </c>
      <c r="V46" s="177">
        <f t="shared" si="15"/>
        <v>18054</v>
      </c>
      <c r="W46" s="177">
        <f t="shared" si="15"/>
        <v>20168</v>
      </c>
      <c r="X46" s="177">
        <f t="shared" si="15"/>
        <v>0</v>
      </c>
      <c r="Y46" s="177">
        <f t="shared" si="15"/>
        <v>0</v>
      </c>
    </row>
    <row r="47" spans="1:25" x14ac:dyDescent="0.2">
      <c r="A47" s="91" t="s">
        <v>38</v>
      </c>
      <c r="B47" s="92" t="s">
        <v>13</v>
      </c>
      <c r="C47" s="18"/>
      <c r="D47" s="19"/>
      <c r="E47" s="19"/>
      <c r="F47" s="158">
        <f t="shared" si="11"/>
        <v>0</v>
      </c>
      <c r="G47" s="21"/>
      <c r="H47" s="22" t="s">
        <v>23</v>
      </c>
      <c r="I47" s="23">
        <f>I48-I44-I45-I46</f>
        <v>140</v>
      </c>
      <c r="J47" s="23">
        <f>J48-J44-J45-J46</f>
        <v>5260</v>
      </c>
      <c r="K47" s="23">
        <f>SUM(I47:J47)</f>
        <v>5400</v>
      </c>
      <c r="L47" s="27" t="s">
        <v>16</v>
      </c>
    </row>
    <row r="48" spans="1:25" ht="13.5" thickBot="1" x14ac:dyDescent="0.25">
      <c r="A48" s="93" t="s">
        <v>39</v>
      </c>
      <c r="B48" s="94" t="s">
        <v>13</v>
      </c>
      <c r="C48" s="67">
        <v>35.08</v>
      </c>
      <c r="D48" s="68">
        <v>1.7</v>
      </c>
      <c r="E48" s="68"/>
      <c r="F48" s="159">
        <f t="shared" si="11"/>
        <v>36.78</v>
      </c>
      <c r="G48" s="21"/>
      <c r="H48" s="73" t="s">
        <v>24</v>
      </c>
      <c r="I48" s="74">
        <f>I36-I41</f>
        <v>400</v>
      </c>
      <c r="J48" s="74">
        <f>J36-J41</f>
        <v>21400</v>
      </c>
      <c r="K48" s="74">
        <f>SUM(I48:J48)</f>
        <v>21800</v>
      </c>
      <c r="L48" s="75" t="s">
        <v>16</v>
      </c>
    </row>
    <row r="49" spans="1:25" ht="15.75" thickBot="1" x14ac:dyDescent="0.3">
      <c r="A49" s="361" t="s">
        <v>100</v>
      </c>
      <c r="B49" s="361"/>
      <c r="C49" s="361"/>
      <c r="D49" s="361"/>
      <c r="E49" s="361"/>
      <c r="F49" s="361"/>
      <c r="G49" s="81"/>
      <c r="H49" s="80"/>
      <c r="I49" s="81"/>
      <c r="J49" s="81"/>
      <c r="K49" s="82"/>
      <c r="L49" s="82"/>
      <c r="N49" s="342" t="s">
        <v>75</v>
      </c>
      <c r="O49" s="342"/>
      <c r="P49" s="342"/>
      <c r="Q49" s="342"/>
      <c r="R49" s="342"/>
      <c r="S49" s="342"/>
      <c r="T49" s="342"/>
      <c r="U49" s="342"/>
      <c r="V49" s="342"/>
      <c r="W49" s="342"/>
      <c r="X49" s="342"/>
      <c r="Y49" s="342"/>
    </row>
    <row r="50" spans="1:25" x14ac:dyDescent="0.2">
      <c r="A50" s="9"/>
      <c r="B50" s="10"/>
      <c r="C50" s="268" t="s">
        <v>14</v>
      </c>
      <c r="D50" s="268"/>
      <c r="E50" s="268"/>
      <c r="F50" s="269"/>
      <c r="G50" s="95"/>
      <c r="H50" s="96" t="s">
        <v>40</v>
      </c>
      <c r="I50" s="286" t="s">
        <v>41</v>
      </c>
      <c r="J50" s="286"/>
      <c r="K50" s="287" t="s">
        <v>42</v>
      </c>
      <c r="L50" s="288"/>
      <c r="N50" s="232">
        <f>N44/((I44)*1/3)</f>
        <v>0.54782608695652169</v>
      </c>
      <c r="O50" s="232">
        <f>O44/((I44)*2/3)</f>
        <v>0.56086956521739129</v>
      </c>
      <c r="P50" s="232">
        <f>P44/((I44)*3/3)</f>
        <v>0.92173913043478262</v>
      </c>
      <c r="Q50" s="232">
        <f>Q44/((I44+I45)*4/6)</f>
        <v>2.7652173913043478</v>
      </c>
      <c r="R50" s="232">
        <f>R44/((I44+I45)*5/6)</f>
        <v>4.0278260869565221</v>
      </c>
      <c r="S50" s="232">
        <f>S44/((I44+I45)*6/6)</f>
        <v>4.2608695652173916</v>
      </c>
      <c r="T50" s="232">
        <f>T44/(I44+I45+(I45*1/3))</f>
        <v>4.4130434782608692</v>
      </c>
      <c r="U50" s="232">
        <f>U44/(I44+I45+(I46*2/3))</f>
        <v>4.0960000000000001</v>
      </c>
      <c r="V50" s="232">
        <f>V44/(I44+I45+(I46*3/3))</f>
        <v>3.9384615384615387</v>
      </c>
      <c r="W50" s="232">
        <f>W44/(I44+I45+I46+(I47*1/3))</f>
        <v>3.4565217391304346</v>
      </c>
      <c r="X50" s="175"/>
      <c r="Y50" s="175"/>
    </row>
    <row r="51" spans="1:25" ht="14.25" x14ac:dyDescent="0.2">
      <c r="A51" s="16" t="s">
        <v>17</v>
      </c>
      <c r="B51" s="92" t="s">
        <v>43</v>
      </c>
      <c r="C51" s="194">
        <v>250</v>
      </c>
      <c r="D51" s="194"/>
      <c r="E51" s="194"/>
      <c r="F51" s="195">
        <f>SUM(C51:E51)</f>
        <v>250</v>
      </c>
      <c r="G51" s="95"/>
      <c r="H51" s="22" t="s">
        <v>15</v>
      </c>
      <c r="I51" s="353"/>
      <c r="J51" s="356"/>
      <c r="K51" s="353">
        <v>0</v>
      </c>
      <c r="L51" s="355"/>
      <c r="N51" s="233">
        <f>N45/((J44)*1/3)</f>
        <v>0.57129186602870818</v>
      </c>
      <c r="O51" s="233">
        <f>O45/((J44)*2/3)</f>
        <v>0.8339712918660287</v>
      </c>
      <c r="P51" s="233">
        <f>P45/((J44)*3/3)</f>
        <v>1.0615629984051036</v>
      </c>
      <c r="Q51" s="233">
        <f>Q45/((J44+J45)*4/6)</f>
        <v>1.1458368734069668</v>
      </c>
      <c r="R51" s="233">
        <f>R45/((J44+J45)*5/6)</f>
        <v>1.0958028887000848</v>
      </c>
      <c r="S51" s="233">
        <f>S45/((J44+J45)*6/6)</f>
        <v>1.0270178419711129</v>
      </c>
      <c r="T51" s="233">
        <f>T45/(J44+J45+(J46*1/3))</f>
        <v>0.97817540322580654</v>
      </c>
      <c r="U51" s="233">
        <f>U45/(J44+J45+(J46*2/3))</f>
        <v>1.0332803632236094</v>
      </c>
      <c r="V51" s="233">
        <f>V45/(J44+J45+(J46*3/3))</f>
        <v>1.0551425030978934</v>
      </c>
      <c r="W51" s="233">
        <f>W45/(J44+J45+J46+(J47*1/3))</f>
        <v>1.0678837555886738</v>
      </c>
      <c r="X51" s="176"/>
      <c r="Y51" s="176"/>
    </row>
    <row r="52" spans="1:25" ht="15" thickBot="1" x14ac:dyDescent="0.25">
      <c r="A52" s="16" t="s">
        <v>20</v>
      </c>
      <c r="B52" s="92" t="s">
        <v>43</v>
      </c>
      <c r="C52" s="194">
        <v>14461</v>
      </c>
      <c r="D52" s="194"/>
      <c r="E52" s="194"/>
      <c r="F52" s="195">
        <f>SUM(C52:E52)</f>
        <v>14461</v>
      </c>
      <c r="G52" s="95"/>
      <c r="H52" s="22" t="s">
        <v>19</v>
      </c>
      <c r="I52" s="353"/>
      <c r="J52" s="356"/>
      <c r="K52" s="353">
        <v>0</v>
      </c>
      <c r="L52" s="355"/>
      <c r="N52" s="231">
        <f>N46/((K44)*1/3)</f>
        <v>0.57046153846153846</v>
      </c>
      <c r="O52" s="231">
        <f>O46/((K44)*2/3)</f>
        <v>0.82430769230769241</v>
      </c>
      <c r="P52" s="231">
        <f>P46/((K44)*3/3)</f>
        <v>1.0566153846153845</v>
      </c>
      <c r="Q52" s="231">
        <f>Q46/((K44+K45)*4/6)</f>
        <v>1.1768749999999999</v>
      </c>
      <c r="R52" s="231">
        <f>R46/((K44+K45)*5/6)</f>
        <v>1.1519999999999999</v>
      </c>
      <c r="S52" s="231">
        <f>S46/((K44+K45)*6/6)</f>
        <v>1.089</v>
      </c>
      <c r="T52" s="231">
        <f>T46/(K44+K45+(K46*1/3))</f>
        <v>1.0361138613861387</v>
      </c>
      <c r="U52" s="231">
        <f>U46/(K44+K45+(K46*2/3))</f>
        <v>1.0845535714285715</v>
      </c>
      <c r="V52" s="231">
        <f>V46/(K44+K45+(K46*3/3))</f>
        <v>1.1008536585365853</v>
      </c>
      <c r="W52" s="231">
        <f>W46/(K44+K45+K46+(K47*1/3))</f>
        <v>1.1081318681318681</v>
      </c>
      <c r="X52" s="177"/>
      <c r="Y52" s="177"/>
    </row>
    <row r="53" spans="1:25" ht="15" thickBot="1" x14ac:dyDescent="0.25">
      <c r="A53" s="97" t="s">
        <v>6</v>
      </c>
      <c r="B53" s="98" t="s">
        <v>43</v>
      </c>
      <c r="C53" s="196">
        <f>SUM(C51:C52)</f>
        <v>14711</v>
      </c>
      <c r="D53" s="197">
        <f>SUM(D51:D52)</f>
        <v>0</v>
      </c>
      <c r="E53" s="197">
        <f>SUM(E51:E52)</f>
        <v>0</v>
      </c>
      <c r="F53" s="198">
        <f>SUM(C53:E53)</f>
        <v>14711</v>
      </c>
      <c r="G53" s="102"/>
      <c r="H53" s="22" t="s">
        <v>21</v>
      </c>
      <c r="I53" s="353">
        <v>0.3</v>
      </c>
      <c r="J53" s="356"/>
      <c r="K53" s="353">
        <v>0</v>
      </c>
      <c r="L53" s="355"/>
    </row>
    <row r="54" spans="1:25" x14ac:dyDescent="0.2">
      <c r="A54" s="9"/>
      <c r="B54" s="10"/>
      <c r="C54" s="396" t="s">
        <v>25</v>
      </c>
      <c r="D54" s="396"/>
      <c r="E54" s="396"/>
      <c r="F54" s="397"/>
      <c r="G54" s="95"/>
      <c r="H54" s="22" t="s">
        <v>23</v>
      </c>
      <c r="I54" s="346">
        <f>I55-I51-I52-I53</f>
        <v>0.60000000000000009</v>
      </c>
      <c r="J54" s="357"/>
      <c r="K54" s="346">
        <f>K55-K51-K52-K53</f>
        <v>0</v>
      </c>
      <c r="L54" s="348"/>
    </row>
    <row r="55" spans="1:25" ht="15.75" thickBot="1" x14ac:dyDescent="0.3">
      <c r="A55" s="16" t="s">
        <v>17</v>
      </c>
      <c r="B55" s="92" t="s">
        <v>43</v>
      </c>
      <c r="C55" s="194">
        <v>190</v>
      </c>
      <c r="D55" s="194"/>
      <c r="E55" s="194"/>
      <c r="F55" s="195">
        <f>SUM(C55:E55)</f>
        <v>190</v>
      </c>
      <c r="G55" s="95"/>
      <c r="H55" s="73" t="s">
        <v>24</v>
      </c>
      <c r="I55" s="349">
        <f>F46</f>
        <v>0.9</v>
      </c>
      <c r="J55" s="284"/>
      <c r="K55" s="349">
        <f>F47</f>
        <v>0</v>
      </c>
      <c r="L55" s="351"/>
      <c r="N55" s="342" t="s">
        <v>76</v>
      </c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</row>
    <row r="56" spans="1:25" ht="15" thickBot="1" x14ac:dyDescent="0.25">
      <c r="A56" s="16" t="s">
        <v>20</v>
      </c>
      <c r="B56" s="92" t="s">
        <v>43</v>
      </c>
      <c r="C56" s="194">
        <v>8207</v>
      </c>
      <c r="D56" s="194"/>
      <c r="E56" s="194"/>
      <c r="F56" s="195">
        <f>SUM(C56:E56)</f>
        <v>8207</v>
      </c>
      <c r="G56" s="95"/>
      <c r="H56" s="103"/>
      <c r="I56" s="95"/>
      <c r="J56" s="95"/>
      <c r="K56" s="82"/>
      <c r="L56" s="82"/>
      <c r="N56" s="232">
        <f>N44/I48</f>
        <v>0.105</v>
      </c>
      <c r="O56" s="232">
        <f>O44/I48</f>
        <v>0.215</v>
      </c>
      <c r="P56" s="232">
        <f>P44/I48</f>
        <v>0.53</v>
      </c>
      <c r="Q56" s="232">
        <f>Q44/I48</f>
        <v>1.06</v>
      </c>
      <c r="R56" s="232">
        <f>R44/I48</f>
        <v>1.93</v>
      </c>
      <c r="S56" s="232">
        <f>S44/I48</f>
        <v>2.4500000000000002</v>
      </c>
      <c r="T56" s="232">
        <f>T44/I48</f>
        <v>2.5375000000000001</v>
      </c>
      <c r="U56" s="232">
        <f>U44/I48</f>
        <v>2.56</v>
      </c>
      <c r="V56" s="232">
        <f>V44/I48</f>
        <v>2.56</v>
      </c>
      <c r="W56" s="175"/>
      <c r="X56" s="175"/>
      <c r="Y56" s="175"/>
    </row>
    <row r="57" spans="1:25" ht="14.25" x14ac:dyDescent="0.2">
      <c r="A57" s="77" t="s">
        <v>6</v>
      </c>
      <c r="B57" s="27" t="s">
        <v>43</v>
      </c>
      <c r="C57" s="199">
        <f>C55+C56</f>
        <v>8397</v>
      </c>
      <c r="D57" s="200">
        <f>SUM(D55:D56)</f>
        <v>0</v>
      </c>
      <c r="E57" s="200">
        <f>SUM(E55:E56)</f>
        <v>0</v>
      </c>
      <c r="F57" s="201">
        <f>SUM(C57:E57)</f>
        <v>8397</v>
      </c>
      <c r="G57" s="102"/>
      <c r="H57" s="96" t="s">
        <v>40</v>
      </c>
      <c r="I57" s="267" t="s">
        <v>39</v>
      </c>
      <c r="J57" s="268"/>
      <c r="K57" s="268"/>
      <c r="L57" s="269"/>
      <c r="N57" s="233">
        <f>N45/J48</f>
        <v>5.5794392523364489E-2</v>
      </c>
      <c r="O57" s="233">
        <f>O45/J48</f>
        <v>0.16289719626168225</v>
      </c>
      <c r="P57" s="233">
        <f>P45/J48</f>
        <v>0.31102803738317758</v>
      </c>
      <c r="Q57" s="233">
        <f>Q45/J48</f>
        <v>0.42014018691588784</v>
      </c>
      <c r="R57" s="233">
        <f>R45/J48</f>
        <v>0.50224299065420563</v>
      </c>
      <c r="S57" s="233">
        <f>S45/J48</f>
        <v>0.56485981308411215</v>
      </c>
      <c r="T57" s="233">
        <f>T45/J48</f>
        <v>0.60457943925233648</v>
      </c>
      <c r="U57" s="233">
        <f>U45/J48</f>
        <v>0.70897196261682238</v>
      </c>
      <c r="V57" s="233">
        <f>V45/J48</f>
        <v>0.79579439252336448</v>
      </c>
      <c r="W57" s="176"/>
      <c r="X57" s="176"/>
      <c r="Y57" s="176"/>
    </row>
    <row r="58" spans="1:25" ht="13.5" thickBot="1" x14ac:dyDescent="0.25">
      <c r="A58" s="47" t="s">
        <v>26</v>
      </c>
      <c r="B58" s="48" t="s">
        <v>13</v>
      </c>
      <c r="C58" s="202">
        <v>197</v>
      </c>
      <c r="D58" s="202"/>
      <c r="E58" s="202"/>
      <c r="F58" s="203">
        <f>SUM(C58:E58)</f>
        <v>197</v>
      </c>
      <c r="G58" s="108"/>
      <c r="H58" s="22" t="s">
        <v>15</v>
      </c>
      <c r="I58" s="353">
        <v>2.44</v>
      </c>
      <c r="J58" s="354"/>
      <c r="K58" s="354"/>
      <c r="L58" s="355"/>
      <c r="N58" s="231">
        <f>N46/K48</f>
        <v>5.6697247706422017E-2</v>
      </c>
      <c r="O58" s="231">
        <f>O46/K48</f>
        <v>0.1638532110091743</v>
      </c>
      <c r="P58" s="231">
        <f>P46/K48</f>
        <v>0.31504587155963304</v>
      </c>
      <c r="Q58" s="231">
        <f>Q46/K48</f>
        <v>0.43188073394495413</v>
      </c>
      <c r="R58" s="231">
        <f>R46/K48</f>
        <v>0.52844036697247709</v>
      </c>
      <c r="S58" s="231">
        <f>S46/K48</f>
        <v>0.59944954128440364</v>
      </c>
      <c r="T58" s="231">
        <f>T46/K48</f>
        <v>0.640045871559633</v>
      </c>
      <c r="U58" s="231">
        <f>U46/K48</f>
        <v>0.74293577981651371</v>
      </c>
      <c r="V58" s="231">
        <f>V46/K48</f>
        <v>0.82816513761467891</v>
      </c>
      <c r="W58" s="177"/>
      <c r="X58" s="177"/>
      <c r="Y58" s="177"/>
    </row>
    <row r="59" spans="1:25" ht="13.5" thickBot="1" x14ac:dyDescent="0.25">
      <c r="A59" s="109" t="s">
        <v>27</v>
      </c>
      <c r="B59" s="110" t="s">
        <v>28</v>
      </c>
      <c r="C59" s="204">
        <f>IF(C58=0,0,ROUND((C57/C58),2))</f>
        <v>42.62</v>
      </c>
      <c r="D59" s="205">
        <f>IF(D58=0,0,ROUND((D57/D58),2))</f>
        <v>0</v>
      </c>
      <c r="E59" s="205">
        <f>IF(E58=0,0,ROUND((E57/E58),2))</f>
        <v>0</v>
      </c>
      <c r="F59" s="206">
        <f>IF(F58=0,0,ROUND((F57/F58),2))</f>
        <v>42.62</v>
      </c>
      <c r="G59" s="114"/>
      <c r="H59" s="22" t="s">
        <v>19</v>
      </c>
      <c r="I59" s="353">
        <v>18.39</v>
      </c>
      <c r="J59" s="354"/>
      <c r="K59" s="354"/>
      <c r="L59" s="355"/>
    </row>
    <row r="60" spans="1:25" x14ac:dyDescent="0.2">
      <c r="A60" s="9"/>
      <c r="B60" s="10"/>
      <c r="C60" s="396" t="s">
        <v>29</v>
      </c>
      <c r="D60" s="396"/>
      <c r="E60" s="396"/>
      <c r="F60" s="397"/>
      <c r="G60" s="95"/>
      <c r="H60" s="22" t="s">
        <v>21</v>
      </c>
      <c r="I60" s="353">
        <v>15.95</v>
      </c>
      <c r="J60" s="354"/>
      <c r="K60" s="354"/>
      <c r="L60" s="355"/>
    </row>
    <row r="61" spans="1:25" ht="15.75" thickBot="1" x14ac:dyDescent="0.25">
      <c r="A61" s="16" t="s">
        <v>44</v>
      </c>
      <c r="B61" s="92" t="s">
        <v>43</v>
      </c>
      <c r="C61" s="194">
        <v>100</v>
      </c>
      <c r="D61" s="194">
        <v>0</v>
      </c>
      <c r="E61" s="194"/>
      <c r="F61" s="195">
        <f>SUM(C61:E61)</f>
        <v>100</v>
      </c>
      <c r="G61" s="95"/>
      <c r="H61" s="22" t="s">
        <v>23</v>
      </c>
      <c r="I61" s="346">
        <f>I62-I58-I59-I60</f>
        <v>0</v>
      </c>
      <c r="J61" s="347"/>
      <c r="K61" s="347"/>
      <c r="L61" s="348"/>
      <c r="N61" s="270" t="s">
        <v>96</v>
      </c>
      <c r="O61" s="270"/>
      <c r="P61" s="270"/>
      <c r="Q61" s="270"/>
      <c r="R61" s="270"/>
      <c r="S61" s="270"/>
      <c r="T61" s="270"/>
      <c r="U61" s="270"/>
      <c r="V61" s="270"/>
      <c r="W61" s="270"/>
      <c r="X61" s="270"/>
      <c r="Y61" s="270"/>
    </row>
    <row r="62" spans="1:25" ht="15" thickBot="1" x14ac:dyDescent="0.25">
      <c r="A62" s="16" t="s">
        <v>45</v>
      </c>
      <c r="B62" s="92" t="s">
        <v>43</v>
      </c>
      <c r="C62" s="194">
        <v>1612</v>
      </c>
      <c r="D62" s="194">
        <v>0</v>
      </c>
      <c r="E62" s="194"/>
      <c r="F62" s="195">
        <f>SUM(C62:E62)</f>
        <v>1612</v>
      </c>
      <c r="G62" s="95"/>
      <c r="H62" s="73" t="s">
        <v>24</v>
      </c>
      <c r="I62" s="349">
        <f>F48</f>
        <v>36.78</v>
      </c>
      <c r="J62" s="350"/>
      <c r="K62" s="350"/>
      <c r="L62" s="351"/>
      <c r="M62" s="210" t="s">
        <v>94</v>
      </c>
      <c r="N62" s="175"/>
      <c r="O62" s="175"/>
      <c r="P62" s="175">
        <v>1.36</v>
      </c>
      <c r="Q62" s="175">
        <v>1.36</v>
      </c>
      <c r="R62" s="175">
        <v>5.25</v>
      </c>
      <c r="S62" s="175">
        <v>5.25</v>
      </c>
      <c r="T62" s="175">
        <v>5.25</v>
      </c>
      <c r="U62" s="175">
        <v>5.25</v>
      </c>
      <c r="V62" s="175">
        <v>5.25</v>
      </c>
      <c r="W62" s="175">
        <v>5.25</v>
      </c>
      <c r="X62" s="175">
        <f t="shared" ref="W62:Y62" si="16">X47-X56</f>
        <v>0</v>
      </c>
      <c r="Y62" s="227">
        <f t="shared" si="16"/>
        <v>0</v>
      </c>
    </row>
    <row r="63" spans="1:25" ht="15" thickBot="1" x14ac:dyDescent="0.25">
      <c r="A63" s="42" t="s">
        <v>6</v>
      </c>
      <c r="B63" s="115" t="s">
        <v>46</v>
      </c>
      <c r="C63" s="207">
        <f>C61+C62</f>
        <v>1712</v>
      </c>
      <c r="D63" s="208">
        <f>SUM(D61:D62)</f>
        <v>0</v>
      </c>
      <c r="E63" s="208">
        <f>SUM(E61:E62)</f>
        <v>0</v>
      </c>
      <c r="F63" s="201">
        <f>SUM(C63:E63)</f>
        <v>1712</v>
      </c>
      <c r="G63" s="102"/>
      <c r="H63" s="103"/>
      <c r="I63" s="95"/>
      <c r="J63" s="95"/>
      <c r="K63" s="82"/>
      <c r="L63" s="82"/>
      <c r="M63" s="225" t="s">
        <v>95</v>
      </c>
      <c r="N63" s="175">
        <f>N62-(I51*1/3)</f>
        <v>0</v>
      </c>
      <c r="O63" s="175">
        <f>O62-((I51)*2/3)</f>
        <v>0</v>
      </c>
      <c r="P63" s="175">
        <f>P62-((I51)*3/3)</f>
        <v>1.36</v>
      </c>
      <c r="Q63" s="175">
        <f>Q62-((I51+I52))</f>
        <v>1.36</v>
      </c>
      <c r="R63" s="175">
        <f>R62-((I51+I52))</f>
        <v>5.25</v>
      </c>
      <c r="S63" s="175">
        <f>S62-(I51+I52)</f>
        <v>5.25</v>
      </c>
      <c r="T63" s="175">
        <f>T62-(I51+I52+I53)</f>
        <v>4.95</v>
      </c>
      <c r="U63" s="175">
        <f>U62-(I51+I52+I53)</f>
        <v>4.95</v>
      </c>
      <c r="V63" s="175">
        <f>V62-(I51+I52+I53)</f>
        <v>4.95</v>
      </c>
      <c r="W63" s="226">
        <f>W62-((I51+I52+I53+I54)*10/12)</f>
        <v>4.5</v>
      </c>
      <c r="X63" s="226"/>
      <c r="Y63" s="228"/>
    </row>
    <row r="64" spans="1:25" ht="13.5" thickBot="1" x14ac:dyDescent="0.25">
      <c r="A64" s="47" t="s">
        <v>26</v>
      </c>
      <c r="B64" s="48" t="s">
        <v>13</v>
      </c>
      <c r="C64" s="194">
        <v>53</v>
      </c>
      <c r="D64" s="194"/>
      <c r="E64" s="194"/>
      <c r="F64" s="203">
        <f>SUM(C64:E64)</f>
        <v>53</v>
      </c>
      <c r="G64" s="108"/>
      <c r="H64" s="103"/>
      <c r="I64" s="95"/>
      <c r="J64" s="95"/>
      <c r="K64" s="82"/>
      <c r="L64" s="82"/>
      <c r="M64" s="229" t="s">
        <v>93</v>
      </c>
      <c r="N64" s="235">
        <v>0</v>
      </c>
      <c r="O64" s="235" t="e">
        <f>O62/((I51)*2/3)</f>
        <v>#DIV/0!</v>
      </c>
      <c r="P64" s="235" t="e">
        <f>P62/(I51*3/3)</f>
        <v>#DIV/0!</v>
      </c>
      <c r="Q64" s="235" t="e">
        <f>Q62/((I51+I52))</f>
        <v>#DIV/0!</v>
      </c>
      <c r="R64" s="235" t="e">
        <f>R62/((I51+I52))</f>
        <v>#DIV/0!</v>
      </c>
      <c r="S64" s="235" t="e">
        <f>S62/(I51+I52)</f>
        <v>#DIV/0!</v>
      </c>
      <c r="T64" s="235">
        <f>T62/(I51+I52+I53)</f>
        <v>17.5</v>
      </c>
      <c r="U64" s="235">
        <f>U62/(I51+I52+I53)</f>
        <v>17.5</v>
      </c>
      <c r="V64" s="235">
        <f>V62/(I51+I52+I53)</f>
        <v>17.5</v>
      </c>
      <c r="W64" s="239">
        <f>W62/((I51+I52+I53+I54)*10/12)</f>
        <v>6.9999999999999991</v>
      </c>
      <c r="X64" s="230">
        <f t="shared" ref="W64:Y64" si="17">X48-X57</f>
        <v>0</v>
      </c>
      <c r="Y64" s="179">
        <f t="shared" si="17"/>
        <v>0</v>
      </c>
    </row>
    <row r="65" spans="1:25" ht="13.5" thickBot="1" x14ac:dyDescent="0.25">
      <c r="A65" s="109" t="s">
        <v>27</v>
      </c>
      <c r="B65" s="110" t="s">
        <v>28</v>
      </c>
      <c r="C65" s="204">
        <f>IF(C64=0,0,ROUND((C63/C64),2))</f>
        <v>32.299999999999997</v>
      </c>
      <c r="D65" s="205">
        <f>IF(D64=0,0,ROUND((D63/D64),2))</f>
        <v>0</v>
      </c>
      <c r="E65" s="205">
        <f>IF(E64=0,0,ROUND((E63/E64),2))</f>
        <v>0</v>
      </c>
      <c r="F65" s="206">
        <f>IF(F64=0,0,ROUND((F63/F64),2))</f>
        <v>32.299999999999997</v>
      </c>
      <c r="G65" s="114"/>
      <c r="H65" s="103"/>
      <c r="I65" s="95"/>
      <c r="J65" s="95"/>
      <c r="K65" s="82"/>
      <c r="L65" s="82"/>
    </row>
    <row r="66" spans="1:25" x14ac:dyDescent="0.2">
      <c r="A66" s="116" t="s">
        <v>37</v>
      </c>
      <c r="B66" s="88" t="s">
        <v>13</v>
      </c>
      <c r="C66" s="89">
        <v>4</v>
      </c>
      <c r="D66" s="13"/>
      <c r="E66" s="13"/>
      <c r="F66" s="117">
        <f>SUM(C66:E66)</f>
        <v>4</v>
      </c>
      <c r="G66" s="95"/>
      <c r="H66" s="103"/>
      <c r="I66" s="95"/>
      <c r="J66" s="95"/>
      <c r="K66" s="82"/>
      <c r="L66" s="82"/>
    </row>
    <row r="67" spans="1:25" ht="15.75" thickBot="1" x14ac:dyDescent="0.25">
      <c r="A67" s="118" t="s">
        <v>39</v>
      </c>
      <c r="B67" s="94" t="s">
        <v>13</v>
      </c>
      <c r="C67" s="67">
        <v>35</v>
      </c>
      <c r="D67" s="68">
        <v>2</v>
      </c>
      <c r="E67" s="68">
        <v>0</v>
      </c>
      <c r="F67" s="119">
        <f>SUM(C67:E67)</f>
        <v>37</v>
      </c>
      <c r="G67" s="95"/>
      <c r="H67" s="103"/>
      <c r="I67" s="95"/>
      <c r="J67" s="95"/>
      <c r="K67" s="82"/>
      <c r="L67" s="82"/>
      <c r="N67" s="270" t="s">
        <v>97</v>
      </c>
      <c r="O67" s="270"/>
      <c r="P67" s="270"/>
      <c r="Q67" s="270"/>
      <c r="R67" s="270"/>
      <c r="S67" s="270"/>
      <c r="T67" s="270"/>
      <c r="U67" s="270"/>
      <c r="V67" s="270"/>
      <c r="W67" s="270"/>
      <c r="X67" s="270"/>
      <c r="Y67" s="270"/>
    </row>
    <row r="68" spans="1:25" ht="13.5" thickBot="1" x14ac:dyDescent="0.25">
      <c r="A68" s="81"/>
      <c r="B68" s="80"/>
      <c r="C68" s="81"/>
      <c r="D68" s="81"/>
      <c r="E68" s="81"/>
      <c r="F68" s="81"/>
      <c r="G68" s="81"/>
      <c r="H68" s="80"/>
      <c r="I68" s="81"/>
      <c r="J68" s="81"/>
      <c r="K68" s="82"/>
      <c r="L68" s="82"/>
      <c r="M68" s="210" t="s">
        <v>94</v>
      </c>
      <c r="N68" s="175">
        <v>3</v>
      </c>
      <c r="O68" s="175">
        <v>3</v>
      </c>
      <c r="P68" s="175">
        <v>3.2</v>
      </c>
      <c r="Q68" s="175">
        <v>3.2</v>
      </c>
      <c r="R68" s="175">
        <v>6.2</v>
      </c>
      <c r="S68" s="175">
        <v>7.7</v>
      </c>
      <c r="T68" s="175">
        <v>9.17</v>
      </c>
      <c r="U68" s="175">
        <v>9.17</v>
      </c>
      <c r="V68" s="175">
        <v>11.74</v>
      </c>
      <c r="W68" s="175">
        <v>14.7</v>
      </c>
      <c r="X68" s="175">
        <f>X53-X62</f>
        <v>0</v>
      </c>
      <c r="Y68" s="227">
        <f>Y53-Y62</f>
        <v>0</v>
      </c>
    </row>
    <row r="69" spans="1:25" ht="13.5" thickBot="1" x14ac:dyDescent="0.25">
      <c r="A69" s="120" t="s">
        <v>47</v>
      </c>
      <c r="B69" s="121"/>
      <c r="C69" s="120"/>
      <c r="D69" s="120" t="s">
        <v>48</v>
      </c>
      <c r="E69" s="122"/>
      <c r="F69" s="120" t="s">
        <v>49</v>
      </c>
      <c r="G69" s="120"/>
      <c r="H69" s="123"/>
      <c r="I69" s="120"/>
      <c r="J69" s="81"/>
      <c r="K69" s="82"/>
      <c r="L69" s="82"/>
      <c r="M69" s="225" t="s">
        <v>95</v>
      </c>
      <c r="N69" s="175">
        <f>N68-((I58)*1/3)</f>
        <v>2.1866666666666665</v>
      </c>
      <c r="O69" s="175">
        <f>O68-((I58)*2/3)</f>
        <v>1.3733333333333333</v>
      </c>
      <c r="P69" s="175">
        <f>P68-((I58)*3/3)</f>
        <v>0.76000000000000023</v>
      </c>
      <c r="Q69" s="175">
        <f>Q68-((I58+I59)*4/6)</f>
        <v>-10.686666666666667</v>
      </c>
      <c r="R69" s="175">
        <f>R68-((I58+I59)*5/6)</f>
        <v>-11.158333333333335</v>
      </c>
      <c r="S69" s="175">
        <f>S68-(I58+I59)</f>
        <v>-13.130000000000003</v>
      </c>
      <c r="T69" s="175">
        <f>T68-((I58+I59+I60)*7/9)</f>
        <v>-19.436666666666667</v>
      </c>
      <c r="U69" s="175">
        <f>U68-((I58+I59+I60)*8/9)</f>
        <v>-23.523333333333333</v>
      </c>
      <c r="V69" s="175">
        <f>V68-((I58+I59+I60)*9/9)</f>
        <v>-25.04</v>
      </c>
      <c r="W69" s="226">
        <f>W68-((I58+I59+I60+I61)*10/12)</f>
        <v>-15.950000000000003</v>
      </c>
      <c r="X69" s="226"/>
      <c r="Y69" s="228"/>
    </row>
    <row r="70" spans="1:25" ht="13.5" thickBot="1" x14ac:dyDescent="0.25">
      <c r="A70" s="124"/>
      <c r="B70" s="125"/>
      <c r="C70" s="124"/>
      <c r="D70" s="126"/>
      <c r="E70" s="124"/>
      <c r="F70" s="124"/>
      <c r="G70" s="124"/>
      <c r="H70" s="125"/>
      <c r="I70" s="124"/>
      <c r="J70" s="124"/>
      <c r="K70" s="127"/>
      <c r="L70" s="127"/>
      <c r="M70" s="229" t="s">
        <v>93</v>
      </c>
      <c r="N70" s="235">
        <f>N68/((I58)*1/3)</f>
        <v>3.6885245901639343</v>
      </c>
      <c r="O70" s="235">
        <f>O68/((I58)*2/3)</f>
        <v>1.8442622950819672</v>
      </c>
      <c r="P70" s="235">
        <f>P68/((I58)*3/3)</f>
        <v>1.3114754098360657</v>
      </c>
      <c r="Q70" s="235">
        <f>Q68/((I58+I59)*4/6)</f>
        <v>0.23043686989918385</v>
      </c>
      <c r="R70" s="235">
        <f>R68/((I58+I59)*5/6)</f>
        <v>0.35717714834373498</v>
      </c>
      <c r="S70" s="235">
        <f>S68/(I58+I59)</f>
        <v>0.36965914546327411</v>
      </c>
      <c r="T70" s="235">
        <f>T68/((I58+I60+I59)*7/9)</f>
        <v>0.32055464926590538</v>
      </c>
      <c r="U70" s="235">
        <f>U68/((I58+I59+I60)*8/9)</f>
        <v>0.28048531810766719</v>
      </c>
      <c r="V70" s="235">
        <f>V68/((I58+I59+I60)*9/9)</f>
        <v>0.31919521479064711</v>
      </c>
      <c r="W70" s="239">
        <f>W68/((I58+I59+I60+I61)*10/12)</f>
        <v>0.47960848287112556</v>
      </c>
      <c r="X70" s="230">
        <f>X54-X64</f>
        <v>0</v>
      </c>
      <c r="Y70" s="179">
        <f>Y54-Y64</f>
        <v>0</v>
      </c>
    </row>
  </sheetData>
  <mergeCells count="84">
    <mergeCell ref="N43:Y43"/>
    <mergeCell ref="N49:Y49"/>
    <mergeCell ref="N55:Y55"/>
    <mergeCell ref="N27:Y27"/>
    <mergeCell ref="N32:Y32"/>
    <mergeCell ref="N37:Y37"/>
    <mergeCell ref="N1:Y1"/>
    <mergeCell ref="N4:Y4"/>
    <mergeCell ref="N9:Y9"/>
    <mergeCell ref="N15:Y15"/>
    <mergeCell ref="N22:Y22"/>
    <mergeCell ref="I62:L62"/>
    <mergeCell ref="C54:F54"/>
    <mergeCell ref="I54:J54"/>
    <mergeCell ref="K54:L54"/>
    <mergeCell ref="I55:J55"/>
    <mergeCell ref="K55:L55"/>
    <mergeCell ref="I57:L57"/>
    <mergeCell ref="I58:L58"/>
    <mergeCell ref="I59:L59"/>
    <mergeCell ref="C60:F60"/>
    <mergeCell ref="I60:L60"/>
    <mergeCell ref="I61:L61"/>
    <mergeCell ref="I51:J51"/>
    <mergeCell ref="K51:L51"/>
    <mergeCell ref="I52:J52"/>
    <mergeCell ref="K52:L52"/>
    <mergeCell ref="I53:J53"/>
    <mergeCell ref="K53:L53"/>
    <mergeCell ref="C42:F42"/>
    <mergeCell ref="H43:L43"/>
    <mergeCell ref="A49:F49"/>
    <mergeCell ref="C50:F50"/>
    <mergeCell ref="I50:J50"/>
    <mergeCell ref="K50:L50"/>
    <mergeCell ref="C37:F37"/>
    <mergeCell ref="A40:A41"/>
    <mergeCell ref="B40:B41"/>
    <mergeCell ref="C40:C41"/>
    <mergeCell ref="D40:D41"/>
    <mergeCell ref="E40:E41"/>
    <mergeCell ref="F40:F41"/>
    <mergeCell ref="C32:F32"/>
    <mergeCell ref="A35:A36"/>
    <mergeCell ref="B35:B36"/>
    <mergeCell ref="C35:C36"/>
    <mergeCell ref="D35:D36"/>
    <mergeCell ref="E35:E36"/>
    <mergeCell ref="F35:F36"/>
    <mergeCell ref="C27:F27"/>
    <mergeCell ref="A30:A31"/>
    <mergeCell ref="B30:B31"/>
    <mergeCell ref="C30:C31"/>
    <mergeCell ref="D30:D31"/>
    <mergeCell ref="E30:E31"/>
    <mergeCell ref="F30:F31"/>
    <mergeCell ref="A25:A26"/>
    <mergeCell ref="B25:B26"/>
    <mergeCell ref="C25:C26"/>
    <mergeCell ref="D25:D26"/>
    <mergeCell ref="E25:E26"/>
    <mergeCell ref="E7:E8"/>
    <mergeCell ref="F7:F8"/>
    <mergeCell ref="F25:F26"/>
    <mergeCell ref="C9:F9"/>
    <mergeCell ref="H9:L9"/>
    <mergeCell ref="C15:F15"/>
    <mergeCell ref="H15:L15"/>
    <mergeCell ref="N61:Y61"/>
    <mergeCell ref="N67:Y67"/>
    <mergeCell ref="C1:K1"/>
    <mergeCell ref="A2:A3"/>
    <mergeCell ref="B2:B3"/>
    <mergeCell ref="C2:C3"/>
    <mergeCell ref="D2:E2"/>
    <mergeCell ref="F2:F3"/>
    <mergeCell ref="H2:L2"/>
    <mergeCell ref="A21:B21"/>
    <mergeCell ref="C22:F22"/>
    <mergeCell ref="C4:F4"/>
    <mergeCell ref="A7:A8"/>
    <mergeCell ref="B7:B8"/>
    <mergeCell ref="C7:C8"/>
    <mergeCell ref="D7:D8"/>
  </mergeCells>
  <conditionalFormatting sqref="G63 F18:G18 F35:G35 F40:G40 F12:G12 F25:G25 F45:G45 G53 G57 F30:G30">
    <cfRule type="cellIs" dxfId="5" priority="2" stopIfTrue="1" operator="notEqual">
      <formula>F10+F11</formula>
    </cfRule>
  </conditionalFormatting>
  <conditionalFormatting sqref="H31">
    <cfRule type="expression" dxfId="4" priority="3" stopIfTrue="1">
      <formula>F31&lt;&gt;SUM(I27:I31)</formula>
    </cfRule>
  </conditionalFormatting>
  <conditionalFormatting sqref="F57 F63 F53">
    <cfRule type="cellIs" dxfId="3" priority="1" stopIfTrue="1" operator="notEqual">
      <formula>F51+F52</formula>
    </cfRule>
  </conditionalFormatting>
  <printOptions horizontalCentered="1" verticalCentered="1"/>
  <pageMargins left="0" right="0" top="0" bottom="0" header="0.51181102362204722" footer="0.51181102362204722"/>
  <pageSetup paperSize="9"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view="pageBreakPreview" topLeftCell="A37" zoomScale="96" zoomScaleNormal="100" zoomScaleSheetLayoutView="96" workbookViewId="0">
      <selection activeCell="W70" sqref="W70"/>
    </sheetView>
  </sheetViews>
  <sheetFormatPr defaultRowHeight="12.75" x14ac:dyDescent="0.2"/>
  <cols>
    <col min="2" max="2" width="10.42578125" customWidth="1"/>
    <col min="3" max="5" width="9.28515625" bestFit="1" customWidth="1"/>
    <col min="6" max="6" width="8.28515625" customWidth="1"/>
    <col min="7" max="7" width="2" customWidth="1"/>
    <col min="9" max="11" width="9.28515625" bestFit="1" customWidth="1"/>
    <col min="12" max="12" width="8.140625" customWidth="1"/>
    <col min="13" max="13" width="12.28515625" customWidth="1"/>
    <col min="14" max="25" width="9.28515625" customWidth="1"/>
    <col min="26" max="26" width="6.85546875" customWidth="1"/>
  </cols>
  <sheetData>
    <row r="1" spans="1:25" ht="16.5" thickBot="1" x14ac:dyDescent="0.3">
      <c r="A1" s="1" t="s">
        <v>0</v>
      </c>
      <c r="B1" s="248" t="s">
        <v>1</v>
      </c>
      <c r="C1" s="325" t="s">
        <v>99</v>
      </c>
      <c r="D1" s="325"/>
      <c r="E1" s="325"/>
      <c r="F1" s="325"/>
      <c r="G1" s="325"/>
      <c r="H1" s="325"/>
      <c r="I1" s="325"/>
      <c r="J1" s="325"/>
      <c r="K1" s="325"/>
      <c r="L1" s="248" t="s">
        <v>2</v>
      </c>
      <c r="N1" s="336" t="s">
        <v>54</v>
      </c>
      <c r="O1" s="337"/>
      <c r="P1" s="337"/>
      <c r="Q1" s="337"/>
      <c r="R1" s="337"/>
      <c r="S1" s="337"/>
      <c r="T1" s="338"/>
      <c r="U1" s="338"/>
      <c r="V1" s="338"/>
      <c r="W1" s="338"/>
      <c r="X1" s="338"/>
      <c r="Y1" s="339"/>
    </row>
    <row r="2" spans="1:25" ht="13.5" thickBot="1" x14ac:dyDescent="0.25">
      <c r="A2" s="326"/>
      <c r="B2" s="328" t="s">
        <v>3</v>
      </c>
      <c r="C2" s="330" t="s">
        <v>4</v>
      </c>
      <c r="D2" s="332" t="s">
        <v>5</v>
      </c>
      <c r="E2" s="332"/>
      <c r="F2" s="333" t="s">
        <v>6</v>
      </c>
      <c r="G2" s="3"/>
      <c r="H2" s="335" t="s">
        <v>7</v>
      </c>
      <c r="I2" s="287"/>
      <c r="J2" s="287"/>
      <c r="K2" s="287"/>
      <c r="L2" s="288"/>
      <c r="N2" s="166" t="s">
        <v>55</v>
      </c>
      <c r="O2" s="167" t="s">
        <v>56</v>
      </c>
      <c r="P2" s="167" t="s">
        <v>57</v>
      </c>
      <c r="Q2" s="167" t="s">
        <v>58</v>
      </c>
      <c r="R2" s="167" t="s">
        <v>59</v>
      </c>
      <c r="S2" s="167" t="s">
        <v>60</v>
      </c>
      <c r="T2" s="167" t="s">
        <v>61</v>
      </c>
      <c r="U2" s="167" t="s">
        <v>62</v>
      </c>
      <c r="V2" s="167" t="s">
        <v>63</v>
      </c>
      <c r="W2" s="167" t="s">
        <v>64</v>
      </c>
      <c r="X2" s="167" t="s">
        <v>65</v>
      </c>
      <c r="Y2" s="168" t="s">
        <v>66</v>
      </c>
    </row>
    <row r="3" spans="1:25" ht="13.5" thickBot="1" x14ac:dyDescent="0.25">
      <c r="A3" s="327"/>
      <c r="B3" s="329"/>
      <c r="C3" s="331"/>
      <c r="D3" s="4" t="s">
        <v>8</v>
      </c>
      <c r="E3" s="5" t="s">
        <v>9</v>
      </c>
      <c r="F3" s="334"/>
      <c r="G3" s="3"/>
      <c r="H3" s="6" t="s">
        <v>10</v>
      </c>
      <c r="I3" s="7" t="s">
        <v>11</v>
      </c>
      <c r="J3" s="7" t="s">
        <v>12</v>
      </c>
      <c r="K3" s="7" t="s">
        <v>6</v>
      </c>
      <c r="L3" s="8" t="s">
        <v>13</v>
      </c>
    </row>
    <row r="4" spans="1:25" ht="13.5" thickBot="1" x14ac:dyDescent="0.25">
      <c r="A4" s="9"/>
      <c r="B4" s="10"/>
      <c r="C4" s="268" t="s">
        <v>14</v>
      </c>
      <c r="D4" s="268"/>
      <c r="E4" s="268"/>
      <c r="F4" s="269"/>
      <c r="G4" s="11"/>
      <c r="H4" s="12" t="s">
        <v>15</v>
      </c>
      <c r="I4" s="13">
        <v>337</v>
      </c>
      <c r="J4" s="13">
        <v>2755</v>
      </c>
      <c r="K4" s="14">
        <f>SUM(I4:J4)</f>
        <v>3092</v>
      </c>
      <c r="L4" s="15" t="s">
        <v>16</v>
      </c>
      <c r="N4" s="340" t="s">
        <v>67</v>
      </c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</row>
    <row r="5" spans="1:25" x14ac:dyDescent="0.2">
      <c r="A5" s="16" t="s">
        <v>17</v>
      </c>
      <c r="B5" s="17" t="s">
        <v>18</v>
      </c>
      <c r="C5" s="18">
        <v>938</v>
      </c>
      <c r="D5" s="19"/>
      <c r="E5" s="19"/>
      <c r="F5" s="251">
        <f>SUM(C5:E5)</f>
        <v>938</v>
      </c>
      <c r="G5" s="21"/>
      <c r="H5" s="22" t="s">
        <v>19</v>
      </c>
      <c r="I5" s="19">
        <v>349</v>
      </c>
      <c r="J5" s="19">
        <v>1510</v>
      </c>
      <c r="K5" s="23">
        <f>SUM(I5:J5)</f>
        <v>1859</v>
      </c>
      <c r="L5" s="24" t="s">
        <v>16</v>
      </c>
      <c r="N5" s="169">
        <v>9</v>
      </c>
      <c r="O5" s="169">
        <v>9</v>
      </c>
      <c r="P5" s="169">
        <v>77</v>
      </c>
      <c r="Q5" s="169">
        <v>87</v>
      </c>
      <c r="R5" s="169">
        <v>146</v>
      </c>
      <c r="S5" s="169">
        <v>198</v>
      </c>
      <c r="T5" s="169">
        <v>212</v>
      </c>
      <c r="U5" s="169">
        <v>212</v>
      </c>
      <c r="V5" s="169">
        <v>218</v>
      </c>
      <c r="W5" s="169">
        <v>218</v>
      </c>
      <c r="X5" s="169">
        <f>[1]Šaštín!X5+[1]Holíč!X5+'[1]Mor. Ján'!X5+[1]Lozorno!X5+[1]Sološnica!X5</f>
        <v>0</v>
      </c>
      <c r="Y5" s="169">
        <f>[1]Šaštín!Y5+[1]Holíč!Y5+'[1]Mor. Ján'!Y5+[1]Lozorno!Y5+[1]Sološnica!Y5</f>
        <v>0</v>
      </c>
    </row>
    <row r="6" spans="1:25" ht="13.5" thickBot="1" x14ac:dyDescent="0.25">
      <c r="A6" s="16" t="s">
        <v>20</v>
      </c>
      <c r="B6" s="17" t="s">
        <v>18</v>
      </c>
      <c r="C6" s="18">
        <v>7734</v>
      </c>
      <c r="D6" s="19"/>
      <c r="E6" s="19"/>
      <c r="F6" s="251">
        <f>SUM(C6:E6)</f>
        <v>7734</v>
      </c>
      <c r="G6" s="21"/>
      <c r="H6" s="22" t="s">
        <v>21</v>
      </c>
      <c r="I6" s="19">
        <v>80</v>
      </c>
      <c r="J6" s="19">
        <v>1368</v>
      </c>
      <c r="K6" s="23">
        <f>SUM(I6:J6)</f>
        <v>1448</v>
      </c>
      <c r="L6" s="24" t="s">
        <v>16</v>
      </c>
      <c r="N6" s="170">
        <v>500</v>
      </c>
      <c r="O6" s="170">
        <v>908</v>
      </c>
      <c r="P6" s="170">
        <v>1725</v>
      </c>
      <c r="Q6" s="170">
        <v>2355</v>
      </c>
      <c r="R6" s="170">
        <v>2999</v>
      </c>
      <c r="S6" s="170">
        <v>3525</v>
      </c>
      <c r="T6" s="170">
        <v>3886</v>
      </c>
      <c r="U6" s="170">
        <v>3970</v>
      </c>
      <c r="V6" s="170">
        <v>4197</v>
      </c>
      <c r="W6" s="170">
        <v>4259</v>
      </c>
      <c r="X6" s="170">
        <f>[1]Šaštín!X6+[1]Holíč!X6+'[1]Mor. Ján'!X6+[1]Lozorno!X6+[1]Sološnica!X6</f>
        <v>0</v>
      </c>
      <c r="Y6" s="170">
        <f>[1]Šaštín!Y6+[1]Holíč!Y6+'[1]Mor. Ján'!Y6+[1]Lozorno!Y6+[1]Sološnica!Y6</f>
        <v>0</v>
      </c>
    </row>
    <row r="7" spans="1:25" ht="13.5" thickBot="1" x14ac:dyDescent="0.25">
      <c r="A7" s="289" t="s">
        <v>6</v>
      </c>
      <c r="B7" s="291" t="s">
        <v>22</v>
      </c>
      <c r="C7" s="293">
        <f>SUM(C5:C6)</f>
        <v>8672</v>
      </c>
      <c r="D7" s="295">
        <f>SUM(D5:D6)</f>
        <v>0</v>
      </c>
      <c r="E7" s="295">
        <f>SUM(E5:E6)</f>
        <v>0</v>
      </c>
      <c r="F7" s="297">
        <f>SUM(C7:E7)</f>
        <v>8672</v>
      </c>
      <c r="G7" s="25"/>
      <c r="H7" s="26" t="s">
        <v>23</v>
      </c>
      <c r="I7" s="23">
        <f>I8-I4-I5-I6</f>
        <v>172</v>
      </c>
      <c r="J7" s="23">
        <f>J8-J4-J5-J6</f>
        <v>2101</v>
      </c>
      <c r="K7" s="23">
        <f>SUM(I7:J7)</f>
        <v>2273</v>
      </c>
      <c r="L7" s="27" t="s">
        <v>16</v>
      </c>
      <c r="N7" s="171">
        <f>N5+N6</f>
        <v>509</v>
      </c>
      <c r="O7" s="172">
        <f>O5+O6</f>
        <v>917</v>
      </c>
      <c r="P7" s="173">
        <f>SUM(P5:P6)</f>
        <v>1802</v>
      </c>
      <c r="Q7" s="173">
        <f t="shared" ref="Q7:Y7" si="0">SUM(Q5:Q6)</f>
        <v>2442</v>
      </c>
      <c r="R7" s="173">
        <f t="shared" si="0"/>
        <v>3145</v>
      </c>
      <c r="S7" s="173">
        <f t="shared" si="0"/>
        <v>3723</v>
      </c>
      <c r="T7" s="173">
        <f t="shared" si="0"/>
        <v>4098</v>
      </c>
      <c r="U7" s="173">
        <f t="shared" si="0"/>
        <v>4182</v>
      </c>
      <c r="V7" s="173">
        <f t="shared" si="0"/>
        <v>4415</v>
      </c>
      <c r="W7" s="173">
        <f t="shared" si="0"/>
        <v>4477</v>
      </c>
      <c r="X7" s="173">
        <f t="shared" si="0"/>
        <v>0</v>
      </c>
      <c r="Y7" s="174">
        <f t="shared" si="0"/>
        <v>0</v>
      </c>
    </row>
    <row r="8" spans="1:25" ht="13.5" thickBot="1" x14ac:dyDescent="0.25">
      <c r="A8" s="320"/>
      <c r="B8" s="321"/>
      <c r="C8" s="358"/>
      <c r="D8" s="359"/>
      <c r="E8" s="359"/>
      <c r="F8" s="360"/>
      <c r="G8" s="25"/>
      <c r="H8" s="28" t="s">
        <v>24</v>
      </c>
      <c r="I8" s="29">
        <f>F5</f>
        <v>938</v>
      </c>
      <c r="J8" s="29">
        <f>F6</f>
        <v>7734</v>
      </c>
      <c r="K8" s="29">
        <f>SUM(I8:J8)</f>
        <v>8672</v>
      </c>
      <c r="L8" s="30" t="s">
        <v>16</v>
      </c>
    </row>
    <row r="9" spans="1:25" ht="13.5" thickBot="1" x14ac:dyDescent="0.25">
      <c r="A9" s="31"/>
      <c r="B9" s="32"/>
      <c r="C9" s="268" t="s">
        <v>25</v>
      </c>
      <c r="D9" s="268"/>
      <c r="E9" s="268"/>
      <c r="F9" s="269"/>
      <c r="G9" s="21"/>
      <c r="H9" s="315"/>
      <c r="I9" s="316"/>
      <c r="J9" s="316"/>
      <c r="K9" s="316"/>
      <c r="L9" s="317"/>
      <c r="N9" s="341" t="s">
        <v>68</v>
      </c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</row>
    <row r="10" spans="1:25" x14ac:dyDescent="0.2">
      <c r="A10" s="16" t="s">
        <v>17</v>
      </c>
      <c r="B10" s="17" t="s">
        <v>18</v>
      </c>
      <c r="C10" s="18">
        <v>1201</v>
      </c>
      <c r="D10" s="19"/>
      <c r="E10" s="19"/>
      <c r="F10" s="251">
        <f>SUM(C10:E10)</f>
        <v>1201</v>
      </c>
      <c r="G10" s="21"/>
      <c r="H10" s="22" t="s">
        <v>15</v>
      </c>
      <c r="I10" s="19">
        <v>560</v>
      </c>
      <c r="J10" s="19">
        <v>2904</v>
      </c>
      <c r="K10" s="23">
        <f>SUM(I10:J10)</f>
        <v>3464</v>
      </c>
      <c r="L10" s="33">
        <v>82</v>
      </c>
      <c r="N10" s="169">
        <v>123</v>
      </c>
      <c r="O10" s="169">
        <v>133</v>
      </c>
      <c r="P10" s="169">
        <v>151</v>
      </c>
      <c r="Q10" s="169">
        <v>204</v>
      </c>
      <c r="R10" s="169">
        <v>280</v>
      </c>
      <c r="S10" s="169">
        <v>352</v>
      </c>
      <c r="T10" s="169">
        <v>352</v>
      </c>
      <c r="U10" s="169">
        <v>354</v>
      </c>
      <c r="V10" s="169">
        <v>354</v>
      </c>
      <c r="W10" s="169">
        <v>354</v>
      </c>
      <c r="X10" s="169">
        <f>[1]Šaštín!X10+[1]Holíč!X10+'[1]Mor. Ján'!X10+[1]Lozorno!X10+[1]Sološnica!X10</f>
        <v>0</v>
      </c>
      <c r="Y10" s="169">
        <f>[1]Šaštín!Y10+[1]Holíč!Y10+'[1]Mor. Ján'!Y10+[1]Lozorno!Y10+[1]Sološnica!Y10</f>
        <v>0</v>
      </c>
    </row>
    <row r="11" spans="1:25" ht="13.5" thickBot="1" x14ac:dyDescent="0.25">
      <c r="A11" s="34" t="s">
        <v>20</v>
      </c>
      <c r="B11" s="35" t="s">
        <v>18</v>
      </c>
      <c r="C11" s="36">
        <v>13388</v>
      </c>
      <c r="D11" s="37"/>
      <c r="E11" s="37"/>
      <c r="F11" s="38">
        <f>SUM(C11:E11)</f>
        <v>13388</v>
      </c>
      <c r="G11" s="21"/>
      <c r="H11" s="39" t="s">
        <v>19</v>
      </c>
      <c r="I11" s="37">
        <v>373</v>
      </c>
      <c r="J11" s="37">
        <v>2437</v>
      </c>
      <c r="K11" s="40">
        <f>SUM(I11:J11)</f>
        <v>2810</v>
      </c>
      <c r="L11" s="41">
        <v>100</v>
      </c>
      <c r="N11" s="170">
        <v>392</v>
      </c>
      <c r="O11" s="170">
        <v>850</v>
      </c>
      <c r="P11" s="170">
        <v>1637</v>
      </c>
      <c r="Q11" s="170">
        <v>2500</v>
      </c>
      <c r="R11" s="170">
        <v>2993</v>
      </c>
      <c r="S11" s="170">
        <v>3484</v>
      </c>
      <c r="T11" s="170">
        <v>4204</v>
      </c>
      <c r="U11" s="170">
        <v>5169</v>
      </c>
      <c r="V11" s="170">
        <v>6242</v>
      </c>
      <c r="W11" s="170">
        <v>7803</v>
      </c>
      <c r="X11" s="170">
        <f>[1]Šaštín!X11+[1]Holíč!X11+'[1]Mor. Ján'!X11+[1]Lozorno!X11+[1]Sološnica!X11</f>
        <v>0</v>
      </c>
      <c r="Y11" s="170">
        <f>[1]Šaštín!Y11+[1]Holíč!Y11+'[1]Mor. Ján'!Y11+[1]Lozorno!Y11+[1]Sološnica!Y11</f>
        <v>0</v>
      </c>
    </row>
    <row r="12" spans="1:25" ht="13.5" thickBot="1" x14ac:dyDescent="0.25">
      <c r="A12" s="42" t="s">
        <v>6</v>
      </c>
      <c r="B12" s="249" t="s">
        <v>22</v>
      </c>
      <c r="C12" s="44">
        <f>SUM(C10:C11)</f>
        <v>14589</v>
      </c>
      <c r="D12" s="45">
        <f>SUM(D10:D11)</f>
        <v>0</v>
      </c>
      <c r="E12" s="45">
        <f>SUM(E10:E11)</f>
        <v>0</v>
      </c>
      <c r="F12" s="46">
        <f>SUM(C12:E12)</f>
        <v>14589</v>
      </c>
      <c r="G12" s="21"/>
      <c r="H12" s="22" t="s">
        <v>21</v>
      </c>
      <c r="I12" s="19"/>
      <c r="J12" s="19">
        <v>4084</v>
      </c>
      <c r="K12" s="23">
        <f>SUM(I12:J12)</f>
        <v>4084</v>
      </c>
      <c r="L12" s="33">
        <v>87</v>
      </c>
      <c r="N12" s="171">
        <f>N10+N11</f>
        <v>515</v>
      </c>
      <c r="O12" s="172">
        <f>O10+O11</f>
        <v>983</v>
      </c>
      <c r="P12" s="173">
        <f>SUM(P10:P11)</f>
        <v>1788</v>
      </c>
      <c r="Q12" s="173">
        <f t="shared" ref="Q12:Y12" si="1">SUM(Q10:Q11)</f>
        <v>2704</v>
      </c>
      <c r="R12" s="173">
        <f t="shared" si="1"/>
        <v>3273</v>
      </c>
      <c r="S12" s="173">
        <f t="shared" si="1"/>
        <v>3836</v>
      </c>
      <c r="T12" s="173">
        <f t="shared" si="1"/>
        <v>4556</v>
      </c>
      <c r="U12" s="173">
        <f t="shared" si="1"/>
        <v>5523</v>
      </c>
      <c r="V12" s="173">
        <f t="shared" si="1"/>
        <v>6596</v>
      </c>
      <c r="W12" s="173">
        <f t="shared" si="1"/>
        <v>8157</v>
      </c>
      <c r="X12" s="173">
        <f t="shared" si="1"/>
        <v>0</v>
      </c>
      <c r="Y12" s="174">
        <f t="shared" si="1"/>
        <v>0</v>
      </c>
    </row>
    <row r="13" spans="1:25" x14ac:dyDescent="0.2">
      <c r="A13" s="47" t="s">
        <v>26</v>
      </c>
      <c r="B13" s="48" t="s">
        <v>13</v>
      </c>
      <c r="C13" s="18">
        <v>363</v>
      </c>
      <c r="D13" s="19"/>
      <c r="E13" s="19"/>
      <c r="F13" s="49">
        <f>SUM(C13:E13)</f>
        <v>363</v>
      </c>
      <c r="G13" s="50"/>
      <c r="H13" s="22" t="s">
        <v>23</v>
      </c>
      <c r="I13" s="23">
        <f>I14-I10-I11-I12</f>
        <v>268</v>
      </c>
      <c r="J13" s="23">
        <f>J14-J10-J11-J12</f>
        <v>3963</v>
      </c>
      <c r="K13" s="23">
        <f>K14-K10-K11-K12</f>
        <v>4231</v>
      </c>
      <c r="L13" s="51">
        <f>L14-L10-L11-L12</f>
        <v>94</v>
      </c>
      <c r="Q13">
        <v>6</v>
      </c>
      <c r="R13">
        <v>36</v>
      </c>
      <c r="S13">
        <v>30</v>
      </c>
      <c r="T13">
        <v>51</v>
      </c>
      <c r="U13">
        <v>68</v>
      </c>
      <c r="V13">
        <v>68</v>
      </c>
      <c r="W13">
        <v>86</v>
      </c>
      <c r="X13">
        <f>[1]Šaštín!X13+[1]Holíč!X13+'[1]Mor. Ján'!X13+[1]Lozorno!X13+[1]Sološnica!X13</f>
        <v>0</v>
      </c>
      <c r="Y13">
        <f>[1]Šaštín!Y13+[1]Holíč!Y13+'[1]Mor. Ján'!Y13+[1]Lozorno!Y13+[1]Sološnica!Y13</f>
        <v>0</v>
      </c>
    </row>
    <row r="14" spans="1:25" ht="13.5" thickBot="1" x14ac:dyDescent="0.25">
      <c r="A14" s="52" t="s">
        <v>27</v>
      </c>
      <c r="B14" s="53" t="s">
        <v>28</v>
      </c>
      <c r="C14" s="54">
        <f>IF(C13=0,0,ROUND((C12/C13),2))</f>
        <v>40.19</v>
      </c>
      <c r="D14" s="55">
        <f>IF(D13=0,0,ROUND((D12/D13),2))</f>
        <v>0</v>
      </c>
      <c r="E14" s="55">
        <f>IF(E13=0,0,ROUND((E12/E13),2))</f>
        <v>0</v>
      </c>
      <c r="F14" s="56">
        <f>IF(F13=0,0,ROUND((F12/F13),2))</f>
        <v>40.19</v>
      </c>
      <c r="G14" s="57"/>
      <c r="H14" s="58" t="s">
        <v>24</v>
      </c>
      <c r="I14" s="29">
        <f>F10</f>
        <v>1201</v>
      </c>
      <c r="J14" s="29">
        <f>F11</f>
        <v>13388</v>
      </c>
      <c r="K14" s="29">
        <f>SUM(I14:J14)</f>
        <v>14589</v>
      </c>
      <c r="L14" s="59">
        <f>F13</f>
        <v>363</v>
      </c>
    </row>
    <row r="15" spans="1:25" ht="13.5" thickBot="1" x14ac:dyDescent="0.25">
      <c r="A15" s="31"/>
      <c r="B15" s="32"/>
      <c r="C15" s="268" t="s">
        <v>29</v>
      </c>
      <c r="D15" s="268"/>
      <c r="E15" s="268"/>
      <c r="F15" s="269"/>
      <c r="G15" s="21"/>
      <c r="H15" s="315"/>
      <c r="I15" s="316"/>
      <c r="J15" s="316"/>
      <c r="K15" s="316"/>
      <c r="L15" s="317"/>
      <c r="N15" s="341" t="s">
        <v>69</v>
      </c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</row>
    <row r="16" spans="1:25" x14ac:dyDescent="0.2">
      <c r="A16" s="16" t="s">
        <v>17</v>
      </c>
      <c r="B16" s="17" t="s">
        <v>18</v>
      </c>
      <c r="C16" s="18">
        <v>890</v>
      </c>
      <c r="D16" s="19"/>
      <c r="E16" s="19"/>
      <c r="F16" s="251">
        <f>SUM(C16:E16)</f>
        <v>890</v>
      </c>
      <c r="G16" s="21"/>
      <c r="H16" s="22" t="s">
        <v>15</v>
      </c>
      <c r="I16" s="19">
        <v>560</v>
      </c>
      <c r="J16" s="19">
        <v>245</v>
      </c>
      <c r="K16" s="23">
        <f>SUM(I16:J16)</f>
        <v>805</v>
      </c>
      <c r="L16" s="33">
        <v>31</v>
      </c>
      <c r="N16" s="169">
        <v>123</v>
      </c>
      <c r="O16" s="169">
        <v>133</v>
      </c>
      <c r="P16" s="169">
        <v>151</v>
      </c>
      <c r="Q16" s="169">
        <v>204</v>
      </c>
      <c r="R16" s="169">
        <v>270</v>
      </c>
      <c r="S16" s="169">
        <v>300</v>
      </c>
      <c r="T16" s="169">
        <v>324</v>
      </c>
      <c r="U16" s="169">
        <v>325</v>
      </c>
      <c r="V16" s="169">
        <v>325</v>
      </c>
      <c r="W16" s="169">
        <v>325</v>
      </c>
      <c r="X16" s="169">
        <f>[1]Šaštín!X16+[1]Holíč!X16+'[1]Mor. Ján'!X16+[1]Lozorno!X16+[1]Sološnica!X16</f>
        <v>0</v>
      </c>
      <c r="Y16" s="169">
        <f>[1]Šaštín!Y16+[1]Holíč!Y16+'[1]Mor. Ján'!Y16+[1]Lozorno!Y16+[1]Sološnica!Y16</f>
        <v>0</v>
      </c>
    </row>
    <row r="17" spans="1:25" ht="13.5" thickBot="1" x14ac:dyDescent="0.25">
      <c r="A17" s="34" t="s">
        <v>20</v>
      </c>
      <c r="B17" s="35" t="s">
        <v>18</v>
      </c>
      <c r="C17" s="36">
        <v>3318</v>
      </c>
      <c r="D17" s="37"/>
      <c r="E17" s="37"/>
      <c r="F17" s="38">
        <f>SUM(C17:E17)</f>
        <v>3318</v>
      </c>
      <c r="G17" s="21"/>
      <c r="H17" s="39" t="s">
        <v>19</v>
      </c>
      <c r="I17" s="37">
        <v>33</v>
      </c>
      <c r="J17" s="37">
        <v>1101</v>
      </c>
      <c r="K17" s="40">
        <f>SUM(I17:J17)</f>
        <v>1134</v>
      </c>
      <c r="L17" s="41">
        <v>66</v>
      </c>
      <c r="N17" s="170">
        <v>209</v>
      </c>
      <c r="O17" s="170">
        <v>358</v>
      </c>
      <c r="P17" s="170">
        <v>690</v>
      </c>
      <c r="Q17" s="170">
        <v>972</v>
      </c>
      <c r="R17" s="170">
        <v>1096</v>
      </c>
      <c r="S17" s="170">
        <v>1223</v>
      </c>
      <c r="T17" s="170">
        <v>1419</v>
      </c>
      <c r="U17" s="170">
        <v>1488</v>
      </c>
      <c r="V17" s="170">
        <v>1678</v>
      </c>
      <c r="W17" s="170">
        <v>1981</v>
      </c>
      <c r="X17" s="170">
        <f>[1]Šaštín!X17+[1]Holíč!X17+'[1]Mor. Ján'!X17+[1]Lozorno!X17+[1]Sološnica!X17</f>
        <v>0</v>
      </c>
      <c r="Y17" s="170">
        <f>[1]Šaštín!Y17+[1]Holíč!Y17+'[1]Mor. Ján'!Y17+[1]Lozorno!Y17+[1]Sološnica!Y17</f>
        <v>0</v>
      </c>
    </row>
    <row r="18" spans="1:25" ht="13.5" thickBot="1" x14ac:dyDescent="0.25">
      <c r="A18" s="42" t="s">
        <v>6</v>
      </c>
      <c r="B18" s="249" t="s">
        <v>22</v>
      </c>
      <c r="C18" s="60">
        <f>SUM(C16:C17)</f>
        <v>4208</v>
      </c>
      <c r="D18" s="61">
        <f>SUM(D16:D17)</f>
        <v>0</v>
      </c>
      <c r="E18" s="61">
        <f>SUM(E16:E17)</f>
        <v>0</v>
      </c>
      <c r="F18" s="251">
        <f>SUM(C18:E18)</f>
        <v>4208</v>
      </c>
      <c r="G18" s="21"/>
      <c r="H18" s="22" t="s">
        <v>21</v>
      </c>
      <c r="I18" s="19"/>
      <c r="J18" s="19">
        <v>950</v>
      </c>
      <c r="K18" s="23">
        <f>SUM(I18:J18)</f>
        <v>950</v>
      </c>
      <c r="L18" s="33">
        <v>34</v>
      </c>
      <c r="N18" s="171">
        <f>N16+N17</f>
        <v>332</v>
      </c>
      <c r="O18" s="172">
        <f>O16+O17</f>
        <v>491</v>
      </c>
      <c r="P18" s="173">
        <f>SUM(P16:P17)</f>
        <v>841</v>
      </c>
      <c r="Q18" s="173">
        <f t="shared" ref="Q18:Y18" si="2">SUM(Q16:Q17)</f>
        <v>1176</v>
      </c>
      <c r="R18" s="173">
        <f t="shared" si="2"/>
        <v>1366</v>
      </c>
      <c r="S18" s="173">
        <f t="shared" si="2"/>
        <v>1523</v>
      </c>
      <c r="T18" s="173">
        <f t="shared" si="2"/>
        <v>1743</v>
      </c>
      <c r="U18" s="173">
        <f t="shared" si="2"/>
        <v>1813</v>
      </c>
      <c r="V18" s="173">
        <f t="shared" si="2"/>
        <v>2003</v>
      </c>
      <c r="W18" s="173">
        <f t="shared" si="2"/>
        <v>2306</v>
      </c>
      <c r="X18" s="173">
        <f t="shared" si="2"/>
        <v>0</v>
      </c>
      <c r="Y18" s="174">
        <f t="shared" si="2"/>
        <v>0</v>
      </c>
    </row>
    <row r="19" spans="1:25" x14ac:dyDescent="0.2">
      <c r="A19" s="47" t="s">
        <v>26</v>
      </c>
      <c r="B19" s="48" t="s">
        <v>13</v>
      </c>
      <c r="C19" s="18">
        <v>169</v>
      </c>
      <c r="D19" s="19"/>
      <c r="E19" s="19"/>
      <c r="F19" s="49">
        <f>SUM(C19:E19)</f>
        <v>169</v>
      </c>
      <c r="G19" s="50"/>
      <c r="H19" s="22" t="s">
        <v>23</v>
      </c>
      <c r="I19" s="23">
        <f>I20-I16-I17-I18</f>
        <v>297</v>
      </c>
      <c r="J19" s="23">
        <f>J20-J16-J17-J18</f>
        <v>1022</v>
      </c>
      <c r="K19" s="23">
        <f>SUM(I19:J19)</f>
        <v>1319</v>
      </c>
      <c r="L19" s="51">
        <f>L20-L16-L17-L18</f>
        <v>38</v>
      </c>
      <c r="Q19">
        <v>6</v>
      </c>
      <c r="R19">
        <v>11</v>
      </c>
      <c r="S19">
        <v>11</v>
      </c>
      <c r="T19">
        <v>26</v>
      </c>
      <c r="U19">
        <v>32</v>
      </c>
      <c r="V19">
        <v>32</v>
      </c>
      <c r="W19">
        <v>32</v>
      </c>
      <c r="X19">
        <f>[1]Šaštín!X19+[1]Holíč!X19+'[1]Mor. Ján'!X19+[1]Lozorno!X19+[1]Sološnica!X19</f>
        <v>0</v>
      </c>
      <c r="Y19">
        <f>[1]Šaštín!Y19+[1]Holíč!Y19+'[1]Mor. Ján'!Y19+[1]Lozorno!Y19+[1]Sološnica!Y19</f>
        <v>0</v>
      </c>
    </row>
    <row r="20" spans="1:25" x14ac:dyDescent="0.2">
      <c r="A20" s="62" t="s">
        <v>27</v>
      </c>
      <c r="B20" s="63" t="s">
        <v>28</v>
      </c>
      <c r="C20" s="65">
        <f>IF(C19=0,0,ROUND((C18/C19),2))</f>
        <v>24.9</v>
      </c>
      <c r="D20" s="65">
        <f>IF(D19=0,0,ROUND((D18/D19),2))</f>
        <v>0</v>
      </c>
      <c r="E20" s="65">
        <f>IF(E19=0,0,ROUND((E18/E19),2))</f>
        <v>0</v>
      </c>
      <c r="F20" s="66">
        <f>IF(F19=0,0,ROUND((F18/F19),2))</f>
        <v>24.9</v>
      </c>
      <c r="G20" s="57"/>
      <c r="H20" s="58" t="s">
        <v>24</v>
      </c>
      <c r="I20" s="29">
        <f>F16</f>
        <v>890</v>
      </c>
      <c r="J20" s="29">
        <f>F17</f>
        <v>3318</v>
      </c>
      <c r="K20" s="29">
        <f>SUM(I20:J20)</f>
        <v>4208</v>
      </c>
      <c r="L20" s="59">
        <f>F19</f>
        <v>169</v>
      </c>
    </row>
    <row r="21" spans="1:25" ht="13.5" thickBot="1" x14ac:dyDescent="0.25">
      <c r="A21" s="318" t="s">
        <v>30</v>
      </c>
      <c r="B21" s="319"/>
      <c r="C21" s="67">
        <v>0</v>
      </c>
      <c r="D21" s="68">
        <v>0</v>
      </c>
      <c r="E21" s="68">
        <v>0</v>
      </c>
      <c r="F21" s="252">
        <f>SUM(C21:E21)</f>
        <v>0</v>
      </c>
      <c r="G21" s="21"/>
      <c r="H21" s="70"/>
      <c r="I21" s="71"/>
      <c r="J21" s="71"/>
      <c r="K21" s="71"/>
      <c r="L21" s="72"/>
    </row>
    <row r="22" spans="1:25" ht="13.5" thickBot="1" x14ac:dyDescent="0.25">
      <c r="A22" s="9"/>
      <c r="B22" s="10"/>
      <c r="C22" s="268" t="s">
        <v>31</v>
      </c>
      <c r="D22" s="268"/>
      <c r="E22" s="268"/>
      <c r="F22" s="269"/>
      <c r="G22" s="21"/>
      <c r="H22" s="12" t="s">
        <v>15</v>
      </c>
      <c r="I22" s="13">
        <v>1584</v>
      </c>
      <c r="J22" s="13"/>
      <c r="K22" s="14">
        <f t="shared" ref="K22:K41" si="3">SUM(I22:J22)</f>
        <v>1584</v>
      </c>
      <c r="L22" s="15" t="s">
        <v>16</v>
      </c>
      <c r="N22" s="341" t="s">
        <v>70</v>
      </c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</row>
    <row r="23" spans="1:25" x14ac:dyDescent="0.2">
      <c r="A23" s="16" t="s">
        <v>17</v>
      </c>
      <c r="B23" s="17" t="s">
        <v>18</v>
      </c>
      <c r="C23" s="18">
        <v>2682</v>
      </c>
      <c r="D23" s="19"/>
      <c r="E23" s="19"/>
      <c r="F23" s="251">
        <f>SUM(C23:E23)</f>
        <v>2682</v>
      </c>
      <c r="G23" s="21"/>
      <c r="H23" s="22" t="s">
        <v>19</v>
      </c>
      <c r="I23" s="19">
        <v>424</v>
      </c>
      <c r="J23" s="19"/>
      <c r="K23" s="23">
        <f t="shared" si="3"/>
        <v>424</v>
      </c>
      <c r="L23" s="24" t="s">
        <v>16</v>
      </c>
      <c r="N23" s="169">
        <v>187</v>
      </c>
      <c r="O23" s="169">
        <v>251</v>
      </c>
      <c r="P23" s="169">
        <v>268</v>
      </c>
      <c r="Q23" s="169">
        <v>294</v>
      </c>
      <c r="R23" s="169">
        <v>601</v>
      </c>
      <c r="S23" s="169">
        <v>891</v>
      </c>
      <c r="T23" s="169">
        <v>1062</v>
      </c>
      <c r="U23" s="169">
        <v>1062</v>
      </c>
      <c r="V23" s="169">
        <v>1062</v>
      </c>
      <c r="W23" s="169">
        <v>1185</v>
      </c>
      <c r="X23" s="169">
        <f>[1]Šaštín!X23+[1]Holíč!X23+'[1]Mor. Ján'!X23+[1]Lozorno!X23+[1]Sološnica!X23+[1]Benuš!X23</f>
        <v>0</v>
      </c>
      <c r="Y23" s="169">
        <f>[1]Šaštín!Y23+[1]Holíč!Y23+'[1]Mor. Ján'!Y23+[1]Lozorno!Y23+[1]Sološnica!Y23+[1]Benuš!Y23</f>
        <v>0</v>
      </c>
    </row>
    <row r="24" spans="1:25" ht="13.5" thickBot="1" x14ac:dyDescent="0.25">
      <c r="A24" s="16" t="s">
        <v>20</v>
      </c>
      <c r="B24" s="17" t="s">
        <v>18</v>
      </c>
      <c r="C24" s="18">
        <v>120</v>
      </c>
      <c r="D24" s="19"/>
      <c r="E24" s="19"/>
      <c r="F24" s="251">
        <f>SUM(C24:E24)</f>
        <v>120</v>
      </c>
      <c r="G24" s="21"/>
      <c r="H24" s="22" t="s">
        <v>21</v>
      </c>
      <c r="I24" s="19">
        <v>115</v>
      </c>
      <c r="J24" s="19"/>
      <c r="K24" s="23">
        <f t="shared" si="3"/>
        <v>115</v>
      </c>
      <c r="L24" s="24" t="s">
        <v>16</v>
      </c>
      <c r="N24" s="170">
        <v>208</v>
      </c>
      <c r="O24" s="170">
        <v>292</v>
      </c>
      <c r="P24" s="170">
        <v>299</v>
      </c>
      <c r="Q24" s="170">
        <v>313</v>
      </c>
      <c r="R24" s="170">
        <v>380</v>
      </c>
      <c r="S24" s="170">
        <v>420</v>
      </c>
      <c r="T24" s="170">
        <v>441</v>
      </c>
      <c r="U24" s="170">
        <v>462</v>
      </c>
      <c r="V24" s="170">
        <v>473</v>
      </c>
      <c r="W24" s="170">
        <v>522</v>
      </c>
      <c r="X24" s="170">
        <f>[1]Šaštín!X24+[1]Holíč!X24+'[1]Mor. Ján'!X24+[1]Lozorno!X24+[1]Sološnica!X24</f>
        <v>0</v>
      </c>
      <c r="Y24" s="170">
        <f>[1]Šaštín!Y24+[1]Holíč!Y24+'[1]Mor. Ján'!Y24+[1]Lozorno!Y24+[1]Sološnica!Y24</f>
        <v>0</v>
      </c>
    </row>
    <row r="25" spans="1:25" ht="13.5" thickBot="1" x14ac:dyDescent="0.25">
      <c r="A25" s="289" t="s">
        <v>6</v>
      </c>
      <c r="B25" s="291" t="s">
        <v>22</v>
      </c>
      <c r="C25" s="293">
        <f>SUM(C23:C24)</f>
        <v>2802</v>
      </c>
      <c r="D25" s="295">
        <f>SUM(D23:D24)</f>
        <v>0</v>
      </c>
      <c r="E25" s="295">
        <f>E24+E23</f>
        <v>0</v>
      </c>
      <c r="F25" s="297">
        <f>F24+F23</f>
        <v>2802</v>
      </c>
      <c r="G25" s="25"/>
      <c r="H25" s="22" t="s">
        <v>23</v>
      </c>
      <c r="I25" s="23">
        <f>I26-I22-I23-I24</f>
        <v>559</v>
      </c>
      <c r="J25" s="23">
        <f>J26-J22-J23-J24</f>
        <v>120</v>
      </c>
      <c r="K25" s="23">
        <f t="shared" si="3"/>
        <v>679</v>
      </c>
      <c r="L25" s="27" t="s">
        <v>16</v>
      </c>
      <c r="N25" s="171">
        <f>N23+N24</f>
        <v>395</v>
      </c>
      <c r="O25" s="172">
        <f>O23+O24</f>
        <v>543</v>
      </c>
      <c r="P25" s="173">
        <f>SUM(P23:P24)</f>
        <v>567</v>
      </c>
      <c r="Q25" s="173">
        <f t="shared" ref="Q25:Y25" si="4">SUM(Q23:Q24)</f>
        <v>607</v>
      </c>
      <c r="R25" s="173">
        <f t="shared" si="4"/>
        <v>981</v>
      </c>
      <c r="S25" s="173">
        <f t="shared" si="4"/>
        <v>1311</v>
      </c>
      <c r="T25" s="173">
        <f t="shared" si="4"/>
        <v>1503</v>
      </c>
      <c r="U25" s="173">
        <f t="shared" si="4"/>
        <v>1524</v>
      </c>
      <c r="V25" s="173">
        <f t="shared" si="4"/>
        <v>1535</v>
      </c>
      <c r="W25" s="173">
        <f t="shared" si="4"/>
        <v>1707</v>
      </c>
      <c r="X25" s="173">
        <f t="shared" si="4"/>
        <v>0</v>
      </c>
      <c r="Y25" s="174">
        <f t="shared" si="4"/>
        <v>0</v>
      </c>
    </row>
    <row r="26" spans="1:25" ht="13.5" thickBot="1" x14ac:dyDescent="0.25">
      <c r="A26" s="290"/>
      <c r="B26" s="292"/>
      <c r="C26" s="294"/>
      <c r="D26" s="296"/>
      <c r="E26" s="296"/>
      <c r="F26" s="298"/>
      <c r="G26" s="25"/>
      <c r="H26" s="73" t="s">
        <v>24</v>
      </c>
      <c r="I26" s="74">
        <f>F23</f>
        <v>2682</v>
      </c>
      <c r="J26" s="74">
        <f>F24</f>
        <v>120</v>
      </c>
      <c r="K26" s="74">
        <f t="shared" si="3"/>
        <v>2802</v>
      </c>
      <c r="L26" s="75" t="s">
        <v>16</v>
      </c>
    </row>
    <row r="27" spans="1:25" ht="13.5" thickBot="1" x14ac:dyDescent="0.25">
      <c r="A27" s="9"/>
      <c r="B27" s="10"/>
      <c r="C27" s="268" t="s">
        <v>32</v>
      </c>
      <c r="D27" s="268"/>
      <c r="E27" s="268"/>
      <c r="F27" s="269"/>
      <c r="G27" s="21"/>
      <c r="H27" s="12" t="s">
        <v>15</v>
      </c>
      <c r="I27" s="13"/>
      <c r="J27" s="13"/>
      <c r="K27" s="14">
        <f t="shared" si="3"/>
        <v>0</v>
      </c>
      <c r="L27" s="15" t="s">
        <v>16</v>
      </c>
      <c r="N27" s="341" t="s">
        <v>71</v>
      </c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</row>
    <row r="28" spans="1:25" x14ac:dyDescent="0.2">
      <c r="A28" s="16" t="s">
        <v>17</v>
      </c>
      <c r="B28" s="17" t="s">
        <v>18</v>
      </c>
      <c r="C28" s="76">
        <v>0</v>
      </c>
      <c r="D28" s="19">
        <v>0</v>
      </c>
      <c r="E28" s="19">
        <v>0</v>
      </c>
      <c r="F28" s="251">
        <f>SUM(C28:E28)</f>
        <v>0</v>
      </c>
      <c r="G28" s="21"/>
      <c r="H28" s="22" t="s">
        <v>19</v>
      </c>
      <c r="I28" s="19"/>
      <c r="J28" s="19"/>
      <c r="K28" s="23">
        <f t="shared" si="3"/>
        <v>0</v>
      </c>
      <c r="L28" s="24" t="s">
        <v>16</v>
      </c>
      <c r="N28" s="169"/>
      <c r="O28" s="169"/>
      <c r="P28" s="169"/>
      <c r="Q28" s="169"/>
      <c r="R28" s="169"/>
      <c r="S28" s="169"/>
      <c r="T28" s="169"/>
      <c r="U28" s="169"/>
      <c r="V28" s="169"/>
      <c r="W28" s="169">
        <f>[1]Šaštín!W28+[1]Holíč!W28+'[1]Mor. Ján'!W28+[1]Lozorno!W28+[1]Sološnica!W28</f>
        <v>0</v>
      </c>
      <c r="X28" s="169">
        <f>[1]Šaštín!X28+[1]Holíč!X28+'[1]Mor. Ján'!X28+[1]Lozorno!X28+[1]Sološnica!X28</f>
        <v>0</v>
      </c>
      <c r="Y28" s="169">
        <f>[1]Šaštín!Y28+[1]Holíč!Y28+'[1]Mor. Ján'!Y28+[1]Lozorno!Y28+[1]Sološnica!Y28</f>
        <v>0</v>
      </c>
    </row>
    <row r="29" spans="1:25" ht="13.5" thickBot="1" x14ac:dyDescent="0.25">
      <c r="A29" s="16" t="s">
        <v>20</v>
      </c>
      <c r="B29" s="17" t="s">
        <v>18</v>
      </c>
      <c r="C29" s="76"/>
      <c r="D29" s="19">
        <v>0</v>
      </c>
      <c r="E29" s="19">
        <v>0</v>
      </c>
      <c r="F29" s="251">
        <f>SUM(C29:E29)</f>
        <v>0</v>
      </c>
      <c r="G29" s="21"/>
      <c r="H29" s="22" t="s">
        <v>21</v>
      </c>
      <c r="I29" s="19"/>
      <c r="J29" s="19"/>
      <c r="K29" s="23">
        <f t="shared" si="3"/>
        <v>0</v>
      </c>
      <c r="L29" s="24" t="s">
        <v>16</v>
      </c>
      <c r="N29" s="170"/>
      <c r="O29" s="170"/>
      <c r="P29" s="170"/>
      <c r="Q29" s="170"/>
      <c r="R29" s="170"/>
      <c r="S29" s="170"/>
      <c r="T29" s="170"/>
      <c r="U29" s="170"/>
      <c r="V29" s="170"/>
      <c r="W29" s="170">
        <f>[1]Šaštín!W29+[1]Holíč!W29+'[1]Mor. Ján'!W29+[1]Lozorno!W29+[1]Sološnica!W29</f>
        <v>0</v>
      </c>
      <c r="X29" s="170">
        <f>[1]Šaštín!X29+[1]Holíč!X29+'[1]Mor. Ján'!X29+[1]Lozorno!X29+[1]Sološnica!X29</f>
        <v>0</v>
      </c>
      <c r="Y29" s="170">
        <f>[1]Šaštín!Y29+[1]Holíč!Y29+'[1]Mor. Ján'!Y29+[1]Lozorno!Y29+[1]Sološnica!Y29</f>
        <v>0</v>
      </c>
    </row>
    <row r="30" spans="1:25" ht="13.5" thickBot="1" x14ac:dyDescent="0.25">
      <c r="A30" s="305" t="s">
        <v>6</v>
      </c>
      <c r="B30" s="307" t="s">
        <v>22</v>
      </c>
      <c r="C30" s="309">
        <f>SUM(C28:C29)</f>
        <v>0</v>
      </c>
      <c r="D30" s="311">
        <f>SUM(D28:D29)</f>
        <v>0</v>
      </c>
      <c r="E30" s="311">
        <f>SUM(E28:E29)</f>
        <v>0</v>
      </c>
      <c r="F30" s="313">
        <f>SUM(C30:E30)</f>
        <v>0</v>
      </c>
      <c r="G30" s="21"/>
      <c r="H30" s="22" t="s">
        <v>23</v>
      </c>
      <c r="I30" s="23">
        <f>I31-I27-I28-I29</f>
        <v>0</v>
      </c>
      <c r="J30" s="23">
        <f>J31-J27-J28-J29</f>
        <v>0</v>
      </c>
      <c r="K30" s="23">
        <f t="shared" si="3"/>
        <v>0</v>
      </c>
      <c r="L30" s="27" t="s">
        <v>16</v>
      </c>
      <c r="N30" s="171">
        <f>N28+N29</f>
        <v>0</v>
      </c>
      <c r="O30" s="172">
        <f>O28+O29</f>
        <v>0</v>
      </c>
      <c r="P30" s="173">
        <f>SUM(P28:P29)</f>
        <v>0</v>
      </c>
      <c r="Q30" s="173">
        <f t="shared" ref="Q30:Y30" si="5">SUM(Q28:Q29)</f>
        <v>0</v>
      </c>
      <c r="R30" s="173">
        <f t="shared" si="5"/>
        <v>0</v>
      </c>
      <c r="S30" s="173">
        <f t="shared" si="5"/>
        <v>0</v>
      </c>
      <c r="T30" s="173">
        <f t="shared" si="5"/>
        <v>0</v>
      </c>
      <c r="U30" s="173">
        <f t="shared" si="5"/>
        <v>0</v>
      </c>
      <c r="V30" s="173">
        <f t="shared" si="5"/>
        <v>0</v>
      </c>
      <c r="W30" s="173">
        <f t="shared" si="5"/>
        <v>0</v>
      </c>
      <c r="X30" s="173">
        <f t="shared" si="5"/>
        <v>0</v>
      </c>
      <c r="Y30" s="174">
        <f t="shared" si="5"/>
        <v>0</v>
      </c>
    </row>
    <row r="31" spans="1:25" ht="13.5" thickBot="1" x14ac:dyDescent="0.25">
      <c r="A31" s="306"/>
      <c r="B31" s="308"/>
      <c r="C31" s="310"/>
      <c r="D31" s="312"/>
      <c r="E31" s="312"/>
      <c r="F31" s="314"/>
      <c r="G31" s="21"/>
      <c r="H31" s="73" t="s">
        <v>24</v>
      </c>
      <c r="I31" s="74">
        <f>F28</f>
        <v>0</v>
      </c>
      <c r="J31" s="74">
        <f>F29</f>
        <v>0</v>
      </c>
      <c r="K31" s="74">
        <f t="shared" si="3"/>
        <v>0</v>
      </c>
      <c r="L31" s="75" t="s">
        <v>16</v>
      </c>
    </row>
    <row r="32" spans="1:25" ht="15.75" thickBot="1" x14ac:dyDescent="0.3">
      <c r="A32" s="9"/>
      <c r="B32" s="10"/>
      <c r="C32" s="268" t="s">
        <v>33</v>
      </c>
      <c r="D32" s="268"/>
      <c r="E32" s="268"/>
      <c r="F32" s="269"/>
      <c r="G32" s="21"/>
      <c r="H32" s="12" t="s">
        <v>15</v>
      </c>
      <c r="I32" s="14">
        <f t="shared" ref="I32:J34" si="6">SUM(I4,I10,I22,I27)</f>
        <v>2481</v>
      </c>
      <c r="J32" s="14">
        <f t="shared" si="6"/>
        <v>5659</v>
      </c>
      <c r="K32" s="14">
        <f>SUM(I32:J32)</f>
        <v>8140</v>
      </c>
      <c r="L32" s="15" t="s">
        <v>16</v>
      </c>
      <c r="N32" s="343" t="s">
        <v>72</v>
      </c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</row>
    <row r="33" spans="1:25" x14ac:dyDescent="0.2">
      <c r="A33" s="77" t="s">
        <v>17</v>
      </c>
      <c r="B33" s="78" t="s">
        <v>18</v>
      </c>
      <c r="C33" s="79">
        <f t="shared" ref="C33:E34" si="7">SUM(C5,C10,C23,C28)</f>
        <v>4821</v>
      </c>
      <c r="D33" s="23">
        <f t="shared" si="7"/>
        <v>0</v>
      </c>
      <c r="E33" s="23">
        <f t="shared" si="7"/>
        <v>0</v>
      </c>
      <c r="F33" s="251">
        <f>SUM(C33:E33)</f>
        <v>4821</v>
      </c>
      <c r="G33" s="21"/>
      <c r="H33" s="22" t="s">
        <v>19</v>
      </c>
      <c r="I33" s="23">
        <f t="shared" si="6"/>
        <v>1146</v>
      </c>
      <c r="J33" s="23">
        <f t="shared" si="6"/>
        <v>3947</v>
      </c>
      <c r="K33" s="23">
        <f t="shared" si="3"/>
        <v>5093</v>
      </c>
      <c r="L33" s="24" t="s">
        <v>16</v>
      </c>
      <c r="M33" s="165"/>
      <c r="N33" s="175">
        <f>N5+N10+N23+N28</f>
        <v>319</v>
      </c>
      <c r="O33" s="175">
        <f t="shared" ref="O33:Y34" si="8">O5+O10+O23+O28</f>
        <v>393</v>
      </c>
      <c r="P33" s="175">
        <f t="shared" si="8"/>
        <v>496</v>
      </c>
      <c r="Q33" s="175">
        <f t="shared" si="8"/>
        <v>585</v>
      </c>
      <c r="R33" s="175">
        <f t="shared" si="8"/>
        <v>1027</v>
      </c>
      <c r="S33" s="175">
        <f t="shared" si="8"/>
        <v>1441</v>
      </c>
      <c r="T33" s="175">
        <f t="shared" si="8"/>
        <v>1626</v>
      </c>
      <c r="U33" s="175">
        <f t="shared" si="8"/>
        <v>1628</v>
      </c>
      <c r="V33" s="175">
        <f t="shared" si="8"/>
        <v>1634</v>
      </c>
      <c r="W33" s="175">
        <f t="shared" si="8"/>
        <v>1757</v>
      </c>
      <c r="X33" s="175">
        <f t="shared" si="8"/>
        <v>0</v>
      </c>
      <c r="Y33" s="175">
        <f t="shared" si="8"/>
        <v>0</v>
      </c>
    </row>
    <row r="34" spans="1:25" x14ac:dyDescent="0.2">
      <c r="A34" s="77" t="s">
        <v>20</v>
      </c>
      <c r="B34" s="78" t="s">
        <v>18</v>
      </c>
      <c r="C34" s="79">
        <f t="shared" si="7"/>
        <v>21242</v>
      </c>
      <c r="D34" s="23">
        <f t="shared" si="7"/>
        <v>0</v>
      </c>
      <c r="E34" s="23">
        <f t="shared" si="7"/>
        <v>0</v>
      </c>
      <c r="F34" s="251">
        <f>SUM(C34:E34)</f>
        <v>21242</v>
      </c>
      <c r="G34" s="21"/>
      <c r="H34" s="22" t="s">
        <v>21</v>
      </c>
      <c r="I34" s="23">
        <f t="shared" si="6"/>
        <v>195</v>
      </c>
      <c r="J34" s="23">
        <f t="shared" si="6"/>
        <v>5452</v>
      </c>
      <c r="K34" s="23">
        <f t="shared" si="3"/>
        <v>5647</v>
      </c>
      <c r="L34" s="24" t="s">
        <v>16</v>
      </c>
      <c r="M34" s="165"/>
      <c r="N34" s="176">
        <f>N6+N11+N24+N29</f>
        <v>1100</v>
      </c>
      <c r="O34" s="176">
        <f t="shared" si="8"/>
        <v>2050</v>
      </c>
      <c r="P34" s="176">
        <f t="shared" si="8"/>
        <v>3661</v>
      </c>
      <c r="Q34" s="176">
        <f t="shared" si="8"/>
        <v>5168</v>
      </c>
      <c r="R34" s="176">
        <f t="shared" si="8"/>
        <v>6372</v>
      </c>
      <c r="S34" s="176">
        <f t="shared" si="8"/>
        <v>7429</v>
      </c>
      <c r="T34" s="176">
        <f t="shared" si="8"/>
        <v>8531</v>
      </c>
      <c r="U34" s="176">
        <f t="shared" si="8"/>
        <v>9601</v>
      </c>
      <c r="V34" s="176">
        <f t="shared" si="8"/>
        <v>10912</v>
      </c>
      <c r="W34" s="176">
        <f t="shared" si="8"/>
        <v>12584</v>
      </c>
      <c r="X34" s="176">
        <f t="shared" si="8"/>
        <v>0</v>
      </c>
      <c r="Y34" s="176">
        <f t="shared" si="8"/>
        <v>0</v>
      </c>
    </row>
    <row r="35" spans="1:25" ht="13.5" thickBot="1" x14ac:dyDescent="0.25">
      <c r="A35" s="289" t="s">
        <v>6</v>
      </c>
      <c r="B35" s="291" t="s">
        <v>22</v>
      </c>
      <c r="C35" s="293">
        <f>SUM(C33:C34)</f>
        <v>26063</v>
      </c>
      <c r="D35" s="295">
        <f>SUM(D33:D34)</f>
        <v>0</v>
      </c>
      <c r="E35" s="295">
        <f>SUM(E33:E34)</f>
        <v>0</v>
      </c>
      <c r="F35" s="297">
        <f>SUM(C35:E35)</f>
        <v>26063</v>
      </c>
      <c r="G35" s="25"/>
      <c r="H35" s="22" t="s">
        <v>23</v>
      </c>
      <c r="I35" s="23">
        <f t="shared" ref="I35" si="9">SUM(I7,I13,I25,I31)</f>
        <v>999</v>
      </c>
      <c r="J35" s="23">
        <f>SUM(J7,J13,J25,J30)</f>
        <v>6184</v>
      </c>
      <c r="K35" s="23">
        <f t="shared" si="3"/>
        <v>7183</v>
      </c>
      <c r="L35" s="27" t="s">
        <v>16</v>
      </c>
      <c r="M35" s="165"/>
      <c r="N35" s="177">
        <f>N33+N34</f>
        <v>1419</v>
      </c>
      <c r="O35" s="177">
        <f t="shared" ref="O35:Y35" si="10">O33+O34</f>
        <v>2443</v>
      </c>
      <c r="P35" s="177">
        <f t="shared" si="10"/>
        <v>4157</v>
      </c>
      <c r="Q35" s="177">
        <f t="shared" si="10"/>
        <v>5753</v>
      </c>
      <c r="R35" s="177">
        <f t="shared" si="10"/>
        <v>7399</v>
      </c>
      <c r="S35" s="177">
        <f t="shared" si="10"/>
        <v>8870</v>
      </c>
      <c r="T35" s="177">
        <f t="shared" si="10"/>
        <v>10157</v>
      </c>
      <c r="U35" s="177">
        <f t="shared" si="10"/>
        <v>11229</v>
      </c>
      <c r="V35" s="177">
        <f t="shared" si="10"/>
        <v>12546</v>
      </c>
      <c r="W35" s="177">
        <f t="shared" si="10"/>
        <v>14341</v>
      </c>
      <c r="X35" s="177">
        <f t="shared" si="10"/>
        <v>0</v>
      </c>
      <c r="Y35" s="177">
        <f t="shared" si="10"/>
        <v>0</v>
      </c>
    </row>
    <row r="36" spans="1:25" ht="13.5" thickBot="1" x14ac:dyDescent="0.25">
      <c r="A36" s="290"/>
      <c r="B36" s="292"/>
      <c r="C36" s="294"/>
      <c r="D36" s="296"/>
      <c r="E36" s="296"/>
      <c r="F36" s="298"/>
      <c r="G36" s="25"/>
      <c r="H36" s="73" t="s">
        <v>24</v>
      </c>
      <c r="I36" s="74">
        <f>SUM(I32:I35)</f>
        <v>4821</v>
      </c>
      <c r="J36" s="74">
        <f>SUM(J32:J35)</f>
        <v>21242</v>
      </c>
      <c r="K36" s="74">
        <f t="shared" si="3"/>
        <v>26063</v>
      </c>
      <c r="L36" s="75" t="s">
        <v>16</v>
      </c>
    </row>
    <row r="37" spans="1:25" ht="13.5" thickBot="1" x14ac:dyDescent="0.25">
      <c r="A37" s="9"/>
      <c r="B37" s="10"/>
      <c r="C37" s="268" t="s">
        <v>34</v>
      </c>
      <c r="D37" s="268"/>
      <c r="E37" s="268"/>
      <c r="F37" s="269"/>
      <c r="G37" s="21"/>
      <c r="H37" s="12" t="s">
        <v>15</v>
      </c>
      <c r="I37" s="13"/>
      <c r="J37" s="13">
        <v>400</v>
      </c>
      <c r="K37" s="14">
        <f t="shared" si="3"/>
        <v>400</v>
      </c>
      <c r="L37" s="15" t="s">
        <v>16</v>
      </c>
      <c r="N37" s="341" t="s">
        <v>73</v>
      </c>
      <c r="O37" s="341"/>
      <c r="P37" s="341"/>
      <c r="Q37" s="341"/>
      <c r="R37" s="341"/>
      <c r="S37" s="341"/>
      <c r="T37" s="341"/>
      <c r="U37" s="341"/>
      <c r="V37" s="341"/>
      <c r="W37" s="341"/>
      <c r="X37" s="341"/>
      <c r="Y37" s="341"/>
    </row>
    <row r="38" spans="1:25" x14ac:dyDescent="0.2">
      <c r="A38" s="16" t="s">
        <v>17</v>
      </c>
      <c r="B38" s="17" t="s">
        <v>18</v>
      </c>
      <c r="C38" s="18"/>
      <c r="D38" s="19">
        <v>0</v>
      </c>
      <c r="E38" s="19">
        <v>0</v>
      </c>
      <c r="F38" s="251">
        <f>SUM(C38:E38)</f>
        <v>0</v>
      </c>
      <c r="G38" s="21"/>
      <c r="H38" s="22" t="s">
        <v>19</v>
      </c>
      <c r="I38" s="19"/>
      <c r="J38" s="19">
        <v>674</v>
      </c>
      <c r="K38" s="23">
        <f t="shared" si="3"/>
        <v>674</v>
      </c>
      <c r="L38" s="24" t="s">
        <v>16</v>
      </c>
      <c r="N38" s="169"/>
      <c r="O38" s="169">
        <v>1</v>
      </c>
      <c r="P38" s="169">
        <v>1</v>
      </c>
      <c r="Q38" s="169">
        <v>1</v>
      </c>
      <c r="R38" s="169">
        <v>1</v>
      </c>
      <c r="S38" s="169">
        <v>1</v>
      </c>
      <c r="T38" s="169">
        <v>4</v>
      </c>
      <c r="U38" s="169">
        <v>6</v>
      </c>
      <c r="V38" s="169">
        <v>13</v>
      </c>
      <c r="W38" s="169">
        <v>13</v>
      </c>
      <c r="X38" s="169">
        <f>[1]Šaštín!X38+[1]Holíč!X38+'[1]Mor. Ján'!X38+[1]Lozorno!X38+[1]Sološnica!X38</f>
        <v>0</v>
      </c>
      <c r="Y38" s="169">
        <f>[1]Šaštín!Y38+[1]Holíč!Y38+'[1]Mor. Ján'!Y38+[1]Lozorno!Y38+[1]Sološnica!Y38</f>
        <v>0</v>
      </c>
    </row>
    <row r="39" spans="1:25" ht="13.5" thickBot="1" x14ac:dyDescent="0.25">
      <c r="A39" s="16" t="s">
        <v>20</v>
      </c>
      <c r="B39" s="17" t="s">
        <v>18</v>
      </c>
      <c r="C39" s="18">
        <v>2000</v>
      </c>
      <c r="D39" s="19">
        <v>0</v>
      </c>
      <c r="E39" s="19">
        <v>0</v>
      </c>
      <c r="F39" s="251">
        <f>SUM(C39:E39)</f>
        <v>2000</v>
      </c>
      <c r="G39" s="21"/>
      <c r="H39" s="22" t="s">
        <v>21</v>
      </c>
      <c r="I39" s="19"/>
      <c r="J39" s="19">
        <v>526</v>
      </c>
      <c r="K39" s="23">
        <f t="shared" si="3"/>
        <v>526</v>
      </c>
      <c r="L39" s="24" t="s">
        <v>16</v>
      </c>
      <c r="N39" s="170"/>
      <c r="O39" s="170">
        <v>50</v>
      </c>
      <c r="P39" s="170">
        <v>68</v>
      </c>
      <c r="Q39" s="170">
        <v>126</v>
      </c>
      <c r="R39" s="170">
        <v>198</v>
      </c>
      <c r="S39" s="170">
        <v>303</v>
      </c>
      <c r="T39" s="170">
        <v>379</v>
      </c>
      <c r="U39" s="170">
        <v>444</v>
      </c>
      <c r="V39" s="170">
        <v>501</v>
      </c>
      <c r="W39" s="170">
        <v>654</v>
      </c>
      <c r="X39" s="170">
        <f>[1]Šaštín!X39+[1]Holíč!X39+'[1]Mor. Ján'!X39+[1]Lozorno!X39+[1]Sološnica!X39</f>
        <v>0</v>
      </c>
      <c r="Y39" s="170">
        <f>[1]Šaštín!Y39+[1]Holíč!Y39+'[1]Mor. Ján'!Y39+[1]Lozorno!Y39+[1]Sološnica!Y39</f>
        <v>0</v>
      </c>
    </row>
    <row r="40" spans="1:25" ht="13.5" thickBot="1" x14ac:dyDescent="0.25">
      <c r="A40" s="289" t="s">
        <v>6</v>
      </c>
      <c r="B40" s="291" t="s">
        <v>22</v>
      </c>
      <c r="C40" s="293">
        <f>SUM(C38:C39)</f>
        <v>2000</v>
      </c>
      <c r="D40" s="295">
        <f>SUM(D38:D39)</f>
        <v>0</v>
      </c>
      <c r="E40" s="295">
        <f>SUM(E38:E39)</f>
        <v>0</v>
      </c>
      <c r="F40" s="297">
        <f>SUM(C40:E40)</f>
        <v>2000</v>
      </c>
      <c r="G40" s="25"/>
      <c r="H40" s="22" t="s">
        <v>23</v>
      </c>
      <c r="I40" s="23">
        <f>I41-I37-I38-I39</f>
        <v>0</v>
      </c>
      <c r="J40" s="23">
        <f>J41-J37-J38-J39</f>
        <v>400</v>
      </c>
      <c r="K40" s="23">
        <f t="shared" si="3"/>
        <v>400</v>
      </c>
      <c r="L40" s="27" t="s">
        <v>16</v>
      </c>
      <c r="N40" s="171">
        <f>N38+N39</f>
        <v>0</v>
      </c>
      <c r="O40" s="172">
        <f>O38+O39</f>
        <v>51</v>
      </c>
      <c r="P40" s="173">
        <f>SUM(P38:P39)</f>
        <v>69</v>
      </c>
      <c r="Q40" s="173">
        <f t="shared" ref="Q40:Y40" si="11">SUM(Q38:Q39)</f>
        <v>127</v>
      </c>
      <c r="R40" s="173">
        <f t="shared" si="11"/>
        <v>199</v>
      </c>
      <c r="S40" s="173">
        <f t="shared" si="11"/>
        <v>304</v>
      </c>
      <c r="T40" s="173">
        <f t="shared" si="11"/>
        <v>383</v>
      </c>
      <c r="U40" s="173">
        <f t="shared" si="11"/>
        <v>450</v>
      </c>
      <c r="V40" s="173">
        <f t="shared" si="11"/>
        <v>514</v>
      </c>
      <c r="W40" s="173">
        <f t="shared" si="11"/>
        <v>667</v>
      </c>
      <c r="X40" s="173">
        <f t="shared" si="11"/>
        <v>0</v>
      </c>
      <c r="Y40" s="174">
        <f t="shared" si="11"/>
        <v>0</v>
      </c>
    </row>
    <row r="41" spans="1:25" ht="13.5" thickBot="1" x14ac:dyDescent="0.25">
      <c r="A41" s="290"/>
      <c r="B41" s="292"/>
      <c r="C41" s="294"/>
      <c r="D41" s="296"/>
      <c r="E41" s="296"/>
      <c r="F41" s="298"/>
      <c r="G41" s="25"/>
      <c r="H41" s="73" t="s">
        <v>24</v>
      </c>
      <c r="I41" s="74">
        <f>F38+C43</f>
        <v>0</v>
      </c>
      <c r="J41" s="74">
        <f>F39+C44</f>
        <v>2000</v>
      </c>
      <c r="K41" s="74">
        <f t="shared" si="3"/>
        <v>2000</v>
      </c>
      <c r="L41" s="75" t="s">
        <v>16</v>
      </c>
    </row>
    <row r="42" spans="1:25" ht="13.5" thickBot="1" x14ac:dyDescent="0.25">
      <c r="A42" s="9"/>
      <c r="B42" s="10"/>
      <c r="C42" s="268" t="s">
        <v>35</v>
      </c>
      <c r="D42" s="268"/>
      <c r="E42" s="268"/>
      <c r="F42" s="269"/>
      <c r="G42" s="21"/>
      <c r="H42" s="80"/>
      <c r="I42" s="81"/>
      <c r="J42" s="81"/>
      <c r="K42" s="82"/>
      <c r="L42" s="82"/>
    </row>
    <row r="43" spans="1:25" ht="18" thickBot="1" x14ac:dyDescent="0.3">
      <c r="A43" s="16" t="s">
        <v>17</v>
      </c>
      <c r="B43" s="17" t="s">
        <v>18</v>
      </c>
      <c r="C43" s="18"/>
      <c r="D43" s="19">
        <v>0</v>
      </c>
      <c r="E43" s="19">
        <v>0</v>
      </c>
      <c r="F43" s="251">
        <f t="shared" ref="F43:F48" si="12">SUM(C43:E43)</f>
        <v>0</v>
      </c>
      <c r="G43" s="21"/>
      <c r="H43" s="285" t="s">
        <v>36</v>
      </c>
      <c r="I43" s="268"/>
      <c r="J43" s="268"/>
      <c r="K43" s="268"/>
      <c r="L43" s="269"/>
      <c r="N43" s="343" t="s">
        <v>74</v>
      </c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</row>
    <row r="44" spans="1:25" x14ac:dyDescent="0.2">
      <c r="A44" s="16" t="s">
        <v>20</v>
      </c>
      <c r="B44" s="17" t="s">
        <v>18</v>
      </c>
      <c r="C44" s="18"/>
      <c r="D44" s="19">
        <v>0</v>
      </c>
      <c r="E44" s="19">
        <v>0</v>
      </c>
      <c r="F44" s="251">
        <f t="shared" si="12"/>
        <v>0</v>
      </c>
      <c r="G44" s="21"/>
      <c r="H44" s="22" t="s">
        <v>15</v>
      </c>
      <c r="I44" s="23">
        <f>I32-I37</f>
        <v>2481</v>
      </c>
      <c r="J44" s="23">
        <f t="shared" ref="I44:J46" si="13">J32-J37</f>
        <v>5259</v>
      </c>
      <c r="K44" s="23">
        <f>SUM(I44:J44)</f>
        <v>7740</v>
      </c>
      <c r="L44" s="83" t="s">
        <v>16</v>
      </c>
      <c r="N44" s="175">
        <f>N33-N38</f>
        <v>319</v>
      </c>
      <c r="O44" s="175">
        <f t="shared" ref="O44:Y45" si="14">O33-O38</f>
        <v>392</v>
      </c>
      <c r="P44" s="175">
        <f t="shared" si="14"/>
        <v>495</v>
      </c>
      <c r="Q44" s="175">
        <f t="shared" si="14"/>
        <v>584</v>
      </c>
      <c r="R44" s="175">
        <f t="shared" si="14"/>
        <v>1026</v>
      </c>
      <c r="S44" s="175">
        <f t="shared" si="14"/>
        <v>1440</v>
      </c>
      <c r="T44" s="175">
        <f t="shared" si="14"/>
        <v>1622</v>
      </c>
      <c r="U44" s="175">
        <f t="shared" si="14"/>
        <v>1622</v>
      </c>
      <c r="V44" s="175">
        <f t="shared" si="14"/>
        <v>1621</v>
      </c>
      <c r="W44" s="175">
        <f t="shared" si="14"/>
        <v>1744</v>
      </c>
      <c r="X44" s="175">
        <f t="shared" si="14"/>
        <v>0</v>
      </c>
      <c r="Y44" s="175">
        <f t="shared" si="14"/>
        <v>0</v>
      </c>
    </row>
    <row r="45" spans="1:25" ht="13.5" thickBot="1" x14ac:dyDescent="0.25">
      <c r="A45" s="84" t="s">
        <v>6</v>
      </c>
      <c r="B45" s="250" t="s">
        <v>22</v>
      </c>
      <c r="C45" s="86">
        <f>SUM(C43:C44)</f>
        <v>0</v>
      </c>
      <c r="D45" s="74">
        <f>SUM(D43:D44)</f>
        <v>0</v>
      </c>
      <c r="E45" s="74">
        <f>SUM(E43:E44)</f>
        <v>0</v>
      </c>
      <c r="F45" s="252">
        <f t="shared" si="12"/>
        <v>0</v>
      </c>
      <c r="G45" s="21"/>
      <c r="H45" s="22" t="s">
        <v>19</v>
      </c>
      <c r="I45" s="23">
        <f t="shared" si="13"/>
        <v>1146</v>
      </c>
      <c r="J45" s="23">
        <f t="shared" si="13"/>
        <v>3273</v>
      </c>
      <c r="K45" s="23">
        <f>SUM(I45:J45)</f>
        <v>4419</v>
      </c>
      <c r="L45" s="27" t="s">
        <v>16</v>
      </c>
      <c r="N45" s="176">
        <f>N34-N39</f>
        <v>1100</v>
      </c>
      <c r="O45" s="176">
        <f t="shared" si="14"/>
        <v>2000</v>
      </c>
      <c r="P45" s="176">
        <f>P34-P39</f>
        <v>3593</v>
      </c>
      <c r="Q45" s="176">
        <f t="shared" si="14"/>
        <v>5042</v>
      </c>
      <c r="R45" s="176">
        <f t="shared" si="14"/>
        <v>6174</v>
      </c>
      <c r="S45" s="176">
        <f t="shared" si="14"/>
        <v>7126</v>
      </c>
      <c r="T45" s="176">
        <f t="shared" si="14"/>
        <v>8152</v>
      </c>
      <c r="U45" s="176">
        <f t="shared" si="14"/>
        <v>9157</v>
      </c>
      <c r="V45" s="176">
        <f t="shared" si="14"/>
        <v>10411</v>
      </c>
      <c r="W45" s="176">
        <f t="shared" si="14"/>
        <v>11930</v>
      </c>
      <c r="X45" s="176">
        <f t="shared" si="14"/>
        <v>0</v>
      </c>
      <c r="Y45" s="176">
        <f t="shared" si="14"/>
        <v>0</v>
      </c>
    </row>
    <row r="46" spans="1:25" ht="13.5" thickBot="1" x14ac:dyDescent="0.25">
      <c r="A46" s="87" t="s">
        <v>37</v>
      </c>
      <c r="B46" s="88" t="s">
        <v>13</v>
      </c>
      <c r="C46" s="89">
        <v>19.43</v>
      </c>
      <c r="D46" s="13">
        <v>1</v>
      </c>
      <c r="E46" s="13"/>
      <c r="F46" s="90">
        <f t="shared" si="12"/>
        <v>20.43</v>
      </c>
      <c r="G46" s="21"/>
      <c r="H46" s="22" t="s">
        <v>21</v>
      </c>
      <c r="I46" s="23">
        <f t="shared" si="13"/>
        <v>195</v>
      </c>
      <c r="J46" s="23">
        <f>J34-J39</f>
        <v>4926</v>
      </c>
      <c r="K46" s="23">
        <f>SUM(I46:J46)</f>
        <v>5121</v>
      </c>
      <c r="L46" s="27" t="s">
        <v>16</v>
      </c>
      <c r="N46" s="177">
        <f>N44+N45</f>
        <v>1419</v>
      </c>
      <c r="O46" s="177">
        <f t="shared" ref="O46:Y46" si="15">O44+O45</f>
        <v>2392</v>
      </c>
      <c r="P46" s="177">
        <f t="shared" si="15"/>
        <v>4088</v>
      </c>
      <c r="Q46" s="177">
        <f t="shared" si="15"/>
        <v>5626</v>
      </c>
      <c r="R46" s="177">
        <f t="shared" si="15"/>
        <v>7200</v>
      </c>
      <c r="S46" s="177">
        <f t="shared" si="15"/>
        <v>8566</v>
      </c>
      <c r="T46" s="177">
        <f t="shared" si="15"/>
        <v>9774</v>
      </c>
      <c r="U46" s="177">
        <f t="shared" si="15"/>
        <v>10779</v>
      </c>
      <c r="V46" s="177">
        <f t="shared" si="15"/>
        <v>12032</v>
      </c>
      <c r="W46" s="177">
        <f t="shared" si="15"/>
        <v>13674</v>
      </c>
      <c r="X46" s="177">
        <f t="shared" si="15"/>
        <v>0</v>
      </c>
      <c r="Y46" s="177">
        <f t="shared" si="15"/>
        <v>0</v>
      </c>
    </row>
    <row r="47" spans="1:25" x14ac:dyDescent="0.2">
      <c r="A47" s="91" t="s">
        <v>38</v>
      </c>
      <c r="B47" s="92" t="s">
        <v>13</v>
      </c>
      <c r="C47" s="18">
        <v>3.72</v>
      </c>
      <c r="D47" s="19"/>
      <c r="E47" s="19"/>
      <c r="F47" s="251">
        <f t="shared" si="12"/>
        <v>3.72</v>
      </c>
      <c r="G47" s="21"/>
      <c r="H47" s="22" t="s">
        <v>23</v>
      </c>
      <c r="I47" s="23">
        <f>I48-I44-I45-I46</f>
        <v>999</v>
      </c>
      <c r="J47" s="23">
        <f>J48-J44-J45-J46</f>
        <v>5784</v>
      </c>
      <c r="K47" s="23">
        <f>SUM(I47:J47)</f>
        <v>6783</v>
      </c>
      <c r="L47" s="27" t="s">
        <v>16</v>
      </c>
    </row>
    <row r="48" spans="1:25" ht="13.5" thickBot="1" x14ac:dyDescent="0.25">
      <c r="A48" s="93" t="s">
        <v>39</v>
      </c>
      <c r="B48" s="94" t="s">
        <v>13</v>
      </c>
      <c r="C48" s="67">
        <v>43.11</v>
      </c>
      <c r="D48" s="68">
        <v>4.91</v>
      </c>
      <c r="E48" s="68"/>
      <c r="F48" s="252">
        <f t="shared" si="12"/>
        <v>48.019999999999996</v>
      </c>
      <c r="G48" s="21"/>
      <c r="H48" s="73" t="s">
        <v>24</v>
      </c>
      <c r="I48" s="74">
        <f>I36-I41</f>
        <v>4821</v>
      </c>
      <c r="J48" s="74">
        <f>J36-J41</f>
        <v>19242</v>
      </c>
      <c r="K48" s="74">
        <f>SUM(I48:J48)</f>
        <v>24063</v>
      </c>
      <c r="L48" s="75" t="s">
        <v>16</v>
      </c>
    </row>
    <row r="49" spans="1:25" ht="15.75" thickBot="1" x14ac:dyDescent="0.3">
      <c r="A49" s="361" t="s">
        <v>100</v>
      </c>
      <c r="B49" s="361"/>
      <c r="C49" s="361"/>
      <c r="D49" s="361"/>
      <c r="E49" s="361"/>
      <c r="F49" s="361"/>
      <c r="G49" s="81"/>
      <c r="H49" s="80"/>
      <c r="I49" s="81"/>
      <c r="J49" s="81"/>
      <c r="K49" s="82"/>
      <c r="L49" s="82"/>
      <c r="N49" s="342" t="s">
        <v>75</v>
      </c>
      <c r="O49" s="342"/>
      <c r="P49" s="342"/>
      <c r="Q49" s="342"/>
      <c r="R49" s="342"/>
      <c r="S49" s="342"/>
      <c r="T49" s="342"/>
      <c r="U49" s="342"/>
      <c r="V49" s="342"/>
      <c r="W49" s="342"/>
      <c r="X49" s="342"/>
      <c r="Y49" s="342"/>
    </row>
    <row r="50" spans="1:25" x14ac:dyDescent="0.2">
      <c r="A50" s="9"/>
      <c r="B50" s="10"/>
      <c r="C50" s="268" t="s">
        <v>14</v>
      </c>
      <c r="D50" s="268"/>
      <c r="E50" s="268"/>
      <c r="F50" s="269"/>
      <c r="G50" s="95"/>
      <c r="H50" s="96" t="s">
        <v>40</v>
      </c>
      <c r="I50" s="286" t="s">
        <v>41</v>
      </c>
      <c r="J50" s="286"/>
      <c r="K50" s="287" t="s">
        <v>42</v>
      </c>
      <c r="L50" s="288"/>
      <c r="N50" s="232">
        <f>N44/((I44)*1/3)</f>
        <v>0.38573155985489721</v>
      </c>
      <c r="O50" s="232">
        <f>O44/((I44)*2/3)</f>
        <v>0.2370012091898428</v>
      </c>
      <c r="P50" s="232">
        <f>P44/((I44)*3/3)</f>
        <v>0.19951632406287786</v>
      </c>
      <c r="Q50" s="232">
        <f>Q44/((I44+I45)*4/6)</f>
        <v>0.24152191894127378</v>
      </c>
      <c r="R50" s="232">
        <f>R44/((I44+I45)*5/6)</f>
        <v>0.33945409429280399</v>
      </c>
      <c r="S50" s="232">
        <f>S44/((I44+I45)*6/6)</f>
        <v>0.3970223325062035</v>
      </c>
      <c r="T50" s="232">
        <f>T44/(I44+I45+(I46*1/3))</f>
        <v>0.43932827735644636</v>
      </c>
      <c r="U50" s="232">
        <f>U44/(I44+I45+(I46*2/3))</f>
        <v>0.43172744210806496</v>
      </c>
      <c r="V50" s="232">
        <f>V44/(I44+I45+(I46*3/3))</f>
        <v>0.42412349555206696</v>
      </c>
      <c r="W50" s="232">
        <f>W44/(I44+I45+I46+(I47*1/3))</f>
        <v>0.41973525872442841</v>
      </c>
      <c r="X50" s="175"/>
      <c r="Y50" s="175"/>
    </row>
    <row r="51" spans="1:25" ht="14.25" x14ac:dyDescent="0.2">
      <c r="A51" s="16" t="s">
        <v>17</v>
      </c>
      <c r="B51" s="92" t="s">
        <v>43</v>
      </c>
      <c r="C51" s="180">
        <v>2220</v>
      </c>
      <c r="D51" s="180">
        <v>76</v>
      </c>
      <c r="E51" s="180"/>
      <c r="F51" s="181">
        <f>SUM(C51:E51)</f>
        <v>2296</v>
      </c>
      <c r="G51" s="95"/>
      <c r="H51" s="22" t="s">
        <v>15</v>
      </c>
      <c r="I51" s="353">
        <v>2.54</v>
      </c>
      <c r="J51" s="356"/>
      <c r="K51" s="353"/>
      <c r="L51" s="355"/>
      <c r="N51" s="233">
        <f>N45/((J44)*1/3)</f>
        <v>0.62749572162007983</v>
      </c>
      <c r="O51" s="233">
        <f>O45/((J44)*2/3)</f>
        <v>0.5704506560182544</v>
      </c>
      <c r="P51" s="233">
        <f>P45/((J44)*3/3)</f>
        <v>0.68320973569119603</v>
      </c>
      <c r="Q51" s="233">
        <f>Q45/((J44+J45)*4/6)</f>
        <v>0.8864275668073136</v>
      </c>
      <c r="R51" s="233">
        <f>R45/((J44+J45)*5/6)</f>
        <v>0.8683544303797468</v>
      </c>
      <c r="S51" s="233">
        <f>S45/((J44+J45)*6/6)</f>
        <v>0.83520862634786686</v>
      </c>
      <c r="T51" s="233">
        <f>T45/(J44+J45+(J46*1/3))</f>
        <v>0.80125810890505211</v>
      </c>
      <c r="U51" s="233">
        <f>U45/(J44+J45+(J46*2/3))</f>
        <v>0.7749661475964793</v>
      </c>
      <c r="V51" s="233">
        <f>V45/(J44+J45+(J46*3/3))</f>
        <v>0.77359191558924056</v>
      </c>
      <c r="W51" s="233">
        <f>W45/(J44+J45+J46+(J47*1/3))</f>
        <v>0.7753802157805797</v>
      </c>
      <c r="X51" s="176"/>
      <c r="Y51" s="176"/>
    </row>
    <row r="52" spans="1:25" ht="15" thickBot="1" x14ac:dyDescent="0.25">
      <c r="A52" s="16" t="s">
        <v>20</v>
      </c>
      <c r="B52" s="92" t="s">
        <v>43</v>
      </c>
      <c r="C52" s="180">
        <v>11119</v>
      </c>
      <c r="D52" s="180">
        <v>595</v>
      </c>
      <c r="E52" s="180"/>
      <c r="F52" s="181">
        <f>SUM(C52:E52)</f>
        <v>11714</v>
      </c>
      <c r="G52" s="95"/>
      <c r="H52" s="22" t="s">
        <v>19</v>
      </c>
      <c r="I52" s="353">
        <v>5.01</v>
      </c>
      <c r="J52" s="356"/>
      <c r="K52" s="353"/>
      <c r="L52" s="355"/>
      <c r="N52" s="231">
        <f>N46/((K44)*1/3)</f>
        <v>0.55000000000000004</v>
      </c>
      <c r="O52" s="231">
        <f>O46/((K44)*2/3)</f>
        <v>0.4635658914728682</v>
      </c>
      <c r="P52" s="231">
        <f>P46/((K44)*3/3)</f>
        <v>0.52816537467700253</v>
      </c>
      <c r="Q52" s="231">
        <f>Q46/((K44+K45)*4/6)</f>
        <v>0.69405378731803602</v>
      </c>
      <c r="R52" s="231">
        <f>R46/((K44+K45)*5/6)</f>
        <v>0.71058475203552929</v>
      </c>
      <c r="S52" s="231">
        <f>S46/((K44+K45)*6/6)</f>
        <v>0.70449872522411383</v>
      </c>
      <c r="T52" s="231">
        <f>T46/(K44+K45+(K46*1/3))</f>
        <v>0.70488965815664217</v>
      </c>
      <c r="U52" s="231">
        <f>U46/(K44+K45+(K46*2/3))</f>
        <v>0.69215950683875938</v>
      </c>
      <c r="V52" s="231">
        <f>V46/(K44+K45+(K46*3/3))</f>
        <v>0.6962962962962963</v>
      </c>
      <c r="W52" s="231">
        <f>W46/(K44+K45+K46+(K47*1/3))</f>
        <v>0.69975948006755029</v>
      </c>
      <c r="X52" s="177"/>
      <c r="Y52" s="177"/>
    </row>
    <row r="53" spans="1:25" ht="15" thickBot="1" x14ac:dyDescent="0.25">
      <c r="A53" s="97" t="s">
        <v>6</v>
      </c>
      <c r="B53" s="98" t="s">
        <v>43</v>
      </c>
      <c r="C53" s="182">
        <f>SUM(C51:C52)</f>
        <v>13339</v>
      </c>
      <c r="D53" s="183">
        <f>SUM(D51:D52)</f>
        <v>671</v>
      </c>
      <c r="E53" s="183">
        <f>SUM(E51:E52)</f>
        <v>0</v>
      </c>
      <c r="F53" s="184">
        <f>SUM(C53:E53)</f>
        <v>14010</v>
      </c>
      <c r="G53" s="102"/>
      <c r="H53" s="22" t="s">
        <v>21</v>
      </c>
      <c r="I53" s="353">
        <v>6.88</v>
      </c>
      <c r="J53" s="356"/>
      <c r="K53" s="353">
        <v>0.83</v>
      </c>
      <c r="L53" s="355"/>
    </row>
    <row r="54" spans="1:25" x14ac:dyDescent="0.2">
      <c r="A54" s="9"/>
      <c r="B54" s="10"/>
      <c r="C54" s="396" t="s">
        <v>25</v>
      </c>
      <c r="D54" s="396"/>
      <c r="E54" s="396"/>
      <c r="F54" s="397"/>
      <c r="G54" s="95"/>
      <c r="H54" s="22" t="s">
        <v>23</v>
      </c>
      <c r="I54" s="346">
        <f>I55-I51-I52-I53</f>
        <v>6.0000000000000009</v>
      </c>
      <c r="J54" s="357"/>
      <c r="K54" s="346">
        <f>K55-K51-K52-K53</f>
        <v>2.89</v>
      </c>
      <c r="L54" s="348"/>
    </row>
    <row r="55" spans="1:25" ht="15.75" thickBot="1" x14ac:dyDescent="0.3">
      <c r="A55" s="16" t="s">
        <v>17</v>
      </c>
      <c r="B55" s="92" t="s">
        <v>43</v>
      </c>
      <c r="C55" s="180">
        <v>944</v>
      </c>
      <c r="D55" s="180">
        <v>67</v>
      </c>
      <c r="E55" s="180"/>
      <c r="F55" s="181">
        <f>SUM(C55:E55)</f>
        <v>1011</v>
      </c>
      <c r="G55" s="95"/>
      <c r="H55" s="73" t="s">
        <v>24</v>
      </c>
      <c r="I55" s="349">
        <f>F46</f>
        <v>20.43</v>
      </c>
      <c r="J55" s="284"/>
      <c r="K55" s="349">
        <f>F47</f>
        <v>3.72</v>
      </c>
      <c r="L55" s="351"/>
      <c r="N55" s="342" t="s">
        <v>76</v>
      </c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</row>
    <row r="56" spans="1:25" ht="15" thickBot="1" x14ac:dyDescent="0.25">
      <c r="A56" s="16" t="s">
        <v>20</v>
      </c>
      <c r="B56" s="92" t="s">
        <v>43</v>
      </c>
      <c r="C56" s="180">
        <v>10494</v>
      </c>
      <c r="D56" s="180">
        <v>222</v>
      </c>
      <c r="E56" s="180"/>
      <c r="F56" s="181">
        <f>SUM(C56:E56)</f>
        <v>10716</v>
      </c>
      <c r="G56" s="95"/>
      <c r="H56" s="103"/>
      <c r="I56" s="95"/>
      <c r="J56" s="95"/>
      <c r="K56" s="82"/>
      <c r="L56" s="82"/>
      <c r="N56" s="232">
        <f>N44/I48</f>
        <v>6.6168844638041902E-2</v>
      </c>
      <c r="O56" s="232">
        <f>O44/I48</f>
        <v>8.1310931342045215E-2</v>
      </c>
      <c r="P56" s="232">
        <f>P44/I48</f>
        <v>0.10267579340385811</v>
      </c>
      <c r="Q56" s="232">
        <f>Q44/I48</f>
        <v>0.12113669363202655</v>
      </c>
      <c r="R56" s="232">
        <f>R44/I48</f>
        <v>0.21281891723708773</v>
      </c>
      <c r="S56" s="232">
        <f>S44/I48</f>
        <v>0.29869321717485997</v>
      </c>
      <c r="T56" s="232">
        <f>T44/I48</f>
        <v>0.3364447210122381</v>
      </c>
      <c r="U56" s="232">
        <f>U44/I48</f>
        <v>0.3364447210122381</v>
      </c>
      <c r="V56" s="232">
        <f>V44/I48</f>
        <v>0.33623729516697781</v>
      </c>
      <c r="W56" s="232">
        <f>W44/I48</f>
        <v>0.36175067413399709</v>
      </c>
      <c r="X56" s="175"/>
      <c r="Y56" s="175"/>
    </row>
    <row r="57" spans="1:25" ht="14.25" x14ac:dyDescent="0.2">
      <c r="A57" s="77" t="s">
        <v>6</v>
      </c>
      <c r="B57" s="27" t="s">
        <v>43</v>
      </c>
      <c r="C57" s="185">
        <f>SUM(C55:C56)</f>
        <v>11438</v>
      </c>
      <c r="D57" s="186">
        <f>SUM(D55:D56)</f>
        <v>289</v>
      </c>
      <c r="E57" s="186">
        <f>SUM(E55:E56)</f>
        <v>0</v>
      </c>
      <c r="F57" s="187">
        <f>SUM(C57:E57)</f>
        <v>11727</v>
      </c>
      <c r="G57" s="102"/>
      <c r="H57" s="96" t="s">
        <v>40</v>
      </c>
      <c r="I57" s="267" t="s">
        <v>39</v>
      </c>
      <c r="J57" s="268"/>
      <c r="K57" s="268"/>
      <c r="L57" s="269"/>
      <c r="N57" s="233">
        <f>N45/J48</f>
        <v>5.7166614697016942E-2</v>
      </c>
      <c r="O57" s="233">
        <f>O45/J48</f>
        <v>0.10393929944912171</v>
      </c>
      <c r="P57" s="233">
        <f>P45/J48</f>
        <v>0.18672695146034715</v>
      </c>
      <c r="Q57" s="233">
        <f>Q45/J48</f>
        <v>0.26203097391123586</v>
      </c>
      <c r="R57" s="233">
        <f>R45/J48</f>
        <v>0.32086061739943872</v>
      </c>
      <c r="S57" s="233">
        <f>S45/J48</f>
        <v>0.37033572393722064</v>
      </c>
      <c r="T57" s="233">
        <f>T45/J48</f>
        <v>0.42365658455462007</v>
      </c>
      <c r="U57" s="233">
        <f>U45/J48</f>
        <v>0.47588608252780379</v>
      </c>
      <c r="V57" s="233">
        <f>V45/J48</f>
        <v>0.5410560232824031</v>
      </c>
      <c r="W57" s="233">
        <f>W45/J48</f>
        <v>0.61999792121401098</v>
      </c>
      <c r="X57" s="176"/>
      <c r="Y57" s="176"/>
    </row>
    <row r="58" spans="1:25" ht="13.5" thickBot="1" x14ac:dyDescent="0.25">
      <c r="A58" s="47" t="s">
        <v>26</v>
      </c>
      <c r="B58" s="48" t="s">
        <v>13</v>
      </c>
      <c r="C58" s="188">
        <v>355</v>
      </c>
      <c r="D58" s="188">
        <v>14</v>
      </c>
      <c r="E58" s="188"/>
      <c r="F58" s="188">
        <f>SUM(C58:E58)</f>
        <v>369</v>
      </c>
      <c r="G58" s="108"/>
      <c r="H58" s="22" t="s">
        <v>15</v>
      </c>
      <c r="I58" s="353"/>
      <c r="J58" s="354"/>
      <c r="K58" s="354"/>
      <c r="L58" s="355"/>
      <c r="N58" s="231">
        <f>N46/K48</f>
        <v>5.8970203216556542E-2</v>
      </c>
      <c r="O58" s="231">
        <f>O46/K48</f>
        <v>9.9405726634251762E-2</v>
      </c>
      <c r="P58" s="231">
        <f>P46/K48</f>
        <v>0.16988737896355399</v>
      </c>
      <c r="Q58" s="231">
        <f>Q46/K48</f>
        <v>0.23380293396500851</v>
      </c>
      <c r="R58" s="231">
        <f>R46/K48</f>
        <v>0.29921456177533973</v>
      </c>
      <c r="S58" s="231">
        <f>S46/K48</f>
        <v>0.35598221335660557</v>
      </c>
      <c r="T58" s="231">
        <f>T46/K48</f>
        <v>0.40618376761002367</v>
      </c>
      <c r="U58" s="231">
        <f>U46/K48</f>
        <v>0.44794913352449817</v>
      </c>
      <c r="V58" s="231">
        <f>V46/K48</f>
        <v>0.50002077878901219</v>
      </c>
      <c r="W58" s="231">
        <f>W46/K48</f>
        <v>0.56825832190499936</v>
      </c>
      <c r="X58" s="177"/>
      <c r="Y58" s="177"/>
    </row>
    <row r="59" spans="1:25" ht="13.5" thickBot="1" x14ac:dyDescent="0.25">
      <c r="A59" s="109" t="s">
        <v>27</v>
      </c>
      <c r="B59" s="110" t="s">
        <v>28</v>
      </c>
      <c r="C59" s="189">
        <f>IF(C58=0,0,ROUND((C57/C58),2))</f>
        <v>32.22</v>
      </c>
      <c r="D59" s="189">
        <f>IF(D58=0,0,ROUND((D57/D58),2))</f>
        <v>20.64</v>
      </c>
      <c r="E59" s="189">
        <f>IF(E58=0,0,ROUND((E57/E58),2))</f>
        <v>0</v>
      </c>
      <c r="F59" s="189">
        <f>IF(F58=0,0,ROUND((F57/F58),2))</f>
        <v>31.78</v>
      </c>
      <c r="G59" s="114"/>
      <c r="H59" s="22" t="s">
        <v>19</v>
      </c>
      <c r="I59" s="353">
        <v>14.09</v>
      </c>
      <c r="J59" s="354"/>
      <c r="K59" s="354"/>
      <c r="L59" s="355"/>
    </row>
    <row r="60" spans="1:25" x14ac:dyDescent="0.2">
      <c r="A60" s="9"/>
      <c r="B60" s="10"/>
      <c r="C60" s="396" t="s">
        <v>29</v>
      </c>
      <c r="D60" s="396"/>
      <c r="E60" s="396"/>
      <c r="F60" s="397"/>
      <c r="G60" s="95"/>
      <c r="H60" s="22" t="s">
        <v>21</v>
      </c>
      <c r="I60" s="353">
        <v>14.24</v>
      </c>
      <c r="J60" s="354"/>
      <c r="K60" s="354"/>
      <c r="L60" s="355"/>
    </row>
    <row r="61" spans="1:25" ht="15.75" thickBot="1" x14ac:dyDescent="0.25">
      <c r="A61" s="16" t="s">
        <v>44</v>
      </c>
      <c r="B61" s="92" t="s">
        <v>43</v>
      </c>
      <c r="C61" s="180">
        <v>741</v>
      </c>
      <c r="D61" s="180">
        <v>67</v>
      </c>
      <c r="E61" s="180"/>
      <c r="F61" s="181">
        <f>SUM(C61:E61)</f>
        <v>808</v>
      </c>
      <c r="G61" s="95"/>
      <c r="H61" s="22" t="s">
        <v>23</v>
      </c>
      <c r="I61" s="346">
        <f>I62-I58-I59-I60</f>
        <v>19.689999999999991</v>
      </c>
      <c r="J61" s="347"/>
      <c r="K61" s="347"/>
      <c r="L61" s="348"/>
      <c r="N61" s="270" t="s">
        <v>96</v>
      </c>
      <c r="O61" s="270"/>
      <c r="P61" s="270"/>
      <c r="Q61" s="270"/>
      <c r="R61" s="270"/>
      <c r="S61" s="270"/>
      <c r="T61" s="270"/>
      <c r="U61" s="270"/>
      <c r="V61" s="270"/>
      <c r="W61" s="270"/>
      <c r="X61" s="270"/>
      <c r="Y61" s="270"/>
    </row>
    <row r="62" spans="1:25" ht="15" thickBot="1" x14ac:dyDescent="0.25">
      <c r="A62" s="16" t="s">
        <v>45</v>
      </c>
      <c r="B62" s="92" t="s">
        <v>43</v>
      </c>
      <c r="C62" s="180">
        <v>2853</v>
      </c>
      <c r="D62" s="180">
        <v>177</v>
      </c>
      <c r="E62" s="180"/>
      <c r="F62" s="181">
        <f>SUM(C62:E62)</f>
        <v>3030</v>
      </c>
      <c r="G62" s="95"/>
      <c r="H62" s="73" t="s">
        <v>24</v>
      </c>
      <c r="I62" s="349">
        <f>F48</f>
        <v>48.019999999999996</v>
      </c>
      <c r="J62" s="350"/>
      <c r="K62" s="350"/>
      <c r="L62" s="351"/>
      <c r="M62" s="210" t="s">
        <v>94</v>
      </c>
      <c r="N62" s="175"/>
      <c r="O62" s="175">
        <v>0</v>
      </c>
      <c r="P62" s="175">
        <v>4.3499999999999996</v>
      </c>
      <c r="Q62" s="175">
        <v>8.89</v>
      </c>
      <c r="R62" s="175">
        <v>10.65</v>
      </c>
      <c r="S62" s="175">
        <v>10.47</v>
      </c>
      <c r="T62" s="175">
        <v>10.47</v>
      </c>
      <c r="U62" s="175">
        <v>10.47</v>
      </c>
      <c r="V62" s="175">
        <v>22.59</v>
      </c>
      <c r="W62" s="175">
        <v>25.42</v>
      </c>
      <c r="X62" s="175">
        <f t="shared" ref="W62:Y62" si="16">X47-X56</f>
        <v>0</v>
      </c>
      <c r="Y62" s="227">
        <f t="shared" si="16"/>
        <v>0</v>
      </c>
    </row>
    <row r="63" spans="1:25" ht="15" thickBot="1" x14ac:dyDescent="0.25">
      <c r="A63" s="42" t="s">
        <v>6</v>
      </c>
      <c r="B63" s="115" t="s">
        <v>46</v>
      </c>
      <c r="C63" s="190">
        <f>SUM(C61:C62)</f>
        <v>3594</v>
      </c>
      <c r="D63" s="191">
        <f>SUM(D61:D62)</f>
        <v>244</v>
      </c>
      <c r="E63" s="191">
        <f>SUM(E61:E62)</f>
        <v>0</v>
      </c>
      <c r="F63" s="187">
        <f>SUM(C63:E63)</f>
        <v>3838</v>
      </c>
      <c r="G63" s="102"/>
      <c r="H63" s="103"/>
      <c r="I63" s="95"/>
      <c r="J63" s="95"/>
      <c r="K63" s="82"/>
      <c r="L63" s="82"/>
      <c r="M63" s="225" t="s">
        <v>95</v>
      </c>
      <c r="N63" s="175">
        <f>N62-(I51*1/3)</f>
        <v>-0.84666666666666668</v>
      </c>
      <c r="O63" s="175">
        <f>O62-((I51)*2/3)</f>
        <v>-1.6933333333333334</v>
      </c>
      <c r="P63" s="175">
        <f>P62-((I51)*3/3)</f>
        <v>1.8099999999999996</v>
      </c>
      <c r="Q63" s="175">
        <f>Q62-((I51+I52))</f>
        <v>1.3400000000000007</v>
      </c>
      <c r="R63" s="175">
        <f>R62-((I51+I52))</f>
        <v>3.1000000000000005</v>
      </c>
      <c r="S63" s="175">
        <f>S62-(I51+I52)</f>
        <v>2.9200000000000008</v>
      </c>
      <c r="T63" s="175">
        <f>T62-(I51+I52+I53)</f>
        <v>-3.9599999999999991</v>
      </c>
      <c r="U63" s="175">
        <f>U62-(I51+I52+I53)</f>
        <v>-3.9599999999999991</v>
      </c>
      <c r="V63" s="175">
        <f>V62-(I51+I52+I53)</f>
        <v>8.16</v>
      </c>
      <c r="W63" s="226">
        <f>W62-((I51+I52+I53+I54)*10/12)</f>
        <v>8.3949999999999996</v>
      </c>
      <c r="X63" s="226"/>
      <c r="Y63" s="228"/>
    </row>
    <row r="64" spans="1:25" ht="13.5" thickBot="1" x14ac:dyDescent="0.25">
      <c r="A64" s="47" t="s">
        <v>26</v>
      </c>
      <c r="B64" s="48" t="s">
        <v>13</v>
      </c>
      <c r="C64" s="188">
        <v>162</v>
      </c>
      <c r="D64" s="188">
        <v>12</v>
      </c>
      <c r="E64" s="188"/>
      <c r="F64" s="188">
        <f>SUM(C64:E64)</f>
        <v>174</v>
      </c>
      <c r="G64" s="108"/>
      <c r="H64" s="103"/>
      <c r="I64" s="95"/>
      <c r="J64" s="95"/>
      <c r="K64" s="82"/>
      <c r="L64" s="82"/>
      <c r="M64" s="229" t="s">
        <v>93</v>
      </c>
      <c r="N64" s="235">
        <f>N62/((I51)*1/3)</f>
        <v>0</v>
      </c>
      <c r="O64" s="235">
        <f>O62/((I51)*2/3)</f>
        <v>0</v>
      </c>
      <c r="P64" s="235">
        <f>P62/(I51*3/3)</f>
        <v>1.7125984251968502</v>
      </c>
      <c r="Q64" s="235">
        <f>Q62/((I51+I52))</f>
        <v>1.1774834437086095</v>
      </c>
      <c r="R64" s="235">
        <f>R62/((I51+I52))</f>
        <v>1.4105960264900663</v>
      </c>
      <c r="S64" s="235">
        <f>S62/(I51+I52)</f>
        <v>1.3867549668874173</v>
      </c>
      <c r="T64" s="235">
        <f>T62/(I51+I52+I53)</f>
        <v>0.72557172557172567</v>
      </c>
      <c r="U64" s="235">
        <f>U62/(I51+I52+I53)</f>
        <v>0.72557172557172567</v>
      </c>
      <c r="V64" s="235">
        <f>V62/(I51+I52+I53)</f>
        <v>1.5654885654885655</v>
      </c>
      <c r="W64" s="239">
        <f>W62/((I51+I52+I53+I54)*10/12)</f>
        <v>1.4930983847283406</v>
      </c>
      <c r="X64" s="230">
        <f t="shared" ref="W64:Y64" si="17">X48-X57</f>
        <v>0</v>
      </c>
      <c r="Y64" s="179">
        <f t="shared" si="17"/>
        <v>0</v>
      </c>
    </row>
    <row r="65" spans="1:25" ht="13.5" thickBot="1" x14ac:dyDescent="0.25">
      <c r="A65" s="109" t="s">
        <v>27</v>
      </c>
      <c r="B65" s="110" t="s">
        <v>28</v>
      </c>
      <c r="C65" s="192">
        <f>IF(C64=0,0,ROUND((C63/C64),2))</f>
        <v>22.19</v>
      </c>
      <c r="D65" s="193">
        <f>IF(D64=0,0,ROUND((D63/D64),2))</f>
        <v>20.329999999999998</v>
      </c>
      <c r="E65" s="193">
        <f>IF(E64=0,0,ROUND((E63/E64),2))</f>
        <v>0</v>
      </c>
      <c r="F65" s="189">
        <f>IF(F64=0,0,ROUND((F63/F64),2))</f>
        <v>22.06</v>
      </c>
      <c r="G65" s="114"/>
      <c r="H65" s="103"/>
      <c r="I65" s="95"/>
      <c r="J65" s="95"/>
      <c r="K65" s="82"/>
      <c r="L65" s="82"/>
    </row>
    <row r="66" spans="1:25" x14ac:dyDescent="0.2">
      <c r="A66" s="116" t="s">
        <v>37</v>
      </c>
      <c r="B66" s="88" t="s">
        <v>13</v>
      </c>
      <c r="C66" s="89">
        <v>35</v>
      </c>
      <c r="D66" s="13">
        <v>1</v>
      </c>
      <c r="E66" s="13"/>
      <c r="F66" s="117">
        <f>SUM(C66:E66)</f>
        <v>36</v>
      </c>
      <c r="G66" s="95"/>
      <c r="H66" s="103"/>
      <c r="I66" s="95"/>
      <c r="J66" s="95"/>
      <c r="K66" s="82"/>
      <c r="L66" s="82"/>
    </row>
    <row r="67" spans="1:25" ht="15.75" thickBot="1" x14ac:dyDescent="0.25">
      <c r="A67" s="118" t="s">
        <v>39</v>
      </c>
      <c r="B67" s="94" t="s">
        <v>13</v>
      </c>
      <c r="C67" s="67">
        <v>29</v>
      </c>
      <c r="D67" s="68">
        <v>1</v>
      </c>
      <c r="E67" s="68"/>
      <c r="F67" s="119">
        <f>SUM(C67:E67)</f>
        <v>30</v>
      </c>
      <c r="G67" s="95"/>
      <c r="H67" s="103"/>
      <c r="I67" s="95"/>
      <c r="J67" s="95"/>
      <c r="K67" s="82"/>
      <c r="L67" s="82"/>
      <c r="N67" s="270" t="s">
        <v>97</v>
      </c>
      <c r="O67" s="270"/>
      <c r="P67" s="270"/>
      <c r="Q67" s="270"/>
      <c r="R67" s="270"/>
      <c r="S67" s="270"/>
      <c r="T67" s="270"/>
      <c r="U67" s="270"/>
      <c r="V67" s="270"/>
      <c r="W67" s="270"/>
      <c r="X67" s="270"/>
      <c r="Y67" s="270"/>
    </row>
    <row r="68" spans="1:25" ht="13.5" thickBot="1" x14ac:dyDescent="0.25">
      <c r="A68" s="81"/>
      <c r="B68" s="80"/>
      <c r="C68" s="81"/>
      <c r="D68" s="81"/>
      <c r="E68" s="81"/>
      <c r="F68" s="81"/>
      <c r="G68" s="81"/>
      <c r="H68" s="80"/>
      <c r="I68" s="81"/>
      <c r="J68" s="81"/>
      <c r="K68" s="82"/>
      <c r="L68" s="82"/>
      <c r="M68" s="210" t="s">
        <v>94</v>
      </c>
      <c r="N68" s="175"/>
      <c r="O68" s="175"/>
      <c r="P68" s="175"/>
      <c r="Q68" s="175">
        <v>0</v>
      </c>
      <c r="R68" s="175">
        <v>5.53</v>
      </c>
      <c r="S68" s="175">
        <v>14.44</v>
      </c>
      <c r="T68" s="175">
        <v>17.940000000000001</v>
      </c>
      <c r="U68" s="175">
        <v>22.8</v>
      </c>
      <c r="V68" s="175">
        <v>26.67</v>
      </c>
      <c r="W68" s="175">
        <v>26.67</v>
      </c>
      <c r="X68" s="175">
        <f>X53-X62</f>
        <v>0</v>
      </c>
      <c r="Y68" s="227">
        <f>Y53-Y62</f>
        <v>0</v>
      </c>
    </row>
    <row r="69" spans="1:25" ht="13.5" thickBot="1" x14ac:dyDescent="0.25">
      <c r="A69" s="120" t="s">
        <v>47</v>
      </c>
      <c r="B69" s="121"/>
      <c r="C69" s="120"/>
      <c r="D69" s="120" t="s">
        <v>48</v>
      </c>
      <c r="E69" s="122"/>
      <c r="F69" s="120" t="s">
        <v>49</v>
      </c>
      <c r="G69" s="120"/>
      <c r="H69" s="123"/>
      <c r="I69" s="120"/>
      <c r="J69" s="81"/>
      <c r="K69" s="82"/>
      <c r="L69" s="82"/>
      <c r="M69" s="225" t="s">
        <v>95</v>
      </c>
      <c r="N69" s="175">
        <f>N68-((I58)*1/3)</f>
        <v>0</v>
      </c>
      <c r="O69" s="175">
        <f>O68-((I58)*2/3)</f>
        <v>0</v>
      </c>
      <c r="P69" s="175">
        <f>P68-((I58)*3/3)</f>
        <v>0</v>
      </c>
      <c r="Q69" s="175">
        <f>Q68-((I58+I59)*4/6)</f>
        <v>-9.3933333333333326</v>
      </c>
      <c r="R69" s="175">
        <f>R68-((I58+I59)*5/6)</f>
        <v>-6.2116666666666669</v>
      </c>
      <c r="S69" s="175">
        <f>S68-(I58+I59)</f>
        <v>0.34999999999999964</v>
      </c>
      <c r="T69" s="175">
        <f>T68-((I58+I59+I60)*7/9)</f>
        <v>-4.094444444444445</v>
      </c>
      <c r="U69" s="175">
        <f>U68-((I58+I59+M60)*8/9)</f>
        <v>10.275555555555556</v>
      </c>
      <c r="V69" s="175">
        <f>V68-((I58+I59+I60)*9/9)</f>
        <v>-1.6599999999999966</v>
      </c>
      <c r="W69" s="226">
        <f>W68-((I58+I59+I60+I61)*10/12)</f>
        <v>-13.346666666666657</v>
      </c>
      <c r="X69" s="226"/>
      <c r="Y69" s="228"/>
    </row>
    <row r="70" spans="1:25" ht="13.5" thickBot="1" x14ac:dyDescent="0.25">
      <c r="A70" s="124"/>
      <c r="B70" s="125"/>
      <c r="C70" s="124"/>
      <c r="D70" s="126"/>
      <c r="E70" s="124"/>
      <c r="F70" s="124"/>
      <c r="G70" s="124"/>
      <c r="H70" s="125"/>
      <c r="I70" s="124"/>
      <c r="J70" s="124"/>
      <c r="K70" s="127"/>
      <c r="L70" s="127"/>
      <c r="M70" s="229" t="s">
        <v>93</v>
      </c>
      <c r="N70" s="235" t="e">
        <f>N68/((I58)*1/3)</f>
        <v>#DIV/0!</v>
      </c>
      <c r="O70" s="235" t="e">
        <f>O68/((I58)*2/3)</f>
        <v>#DIV/0!</v>
      </c>
      <c r="P70" s="235" t="e">
        <f>P68/((I58)*3/3)</f>
        <v>#DIV/0!</v>
      </c>
      <c r="Q70" s="235">
        <f>Q68/((I58+I59)*4/6)</f>
        <v>0</v>
      </c>
      <c r="R70" s="235">
        <f>R68/((I58+I59)*5/6)</f>
        <v>0.47097232079488999</v>
      </c>
      <c r="S70" s="235">
        <f>S68/(I58+I59)</f>
        <v>1.0248403122782115</v>
      </c>
      <c r="T70" s="235">
        <f>T68/((I58+I60+I59)*7/9)</f>
        <v>0.81417981947455997</v>
      </c>
      <c r="U70" s="235">
        <f>U68/((I58+I59+I60)*8/9)</f>
        <v>0.90540063536886695</v>
      </c>
      <c r="V70" s="235">
        <f>V68/((I58+I59+I60)*9/9)</f>
        <v>0.94140487116131322</v>
      </c>
      <c r="W70" s="239">
        <f>W68/((I58+I59+I60+I61)*10/12)</f>
        <v>0.66647230320699724</v>
      </c>
      <c r="X70" s="230">
        <f>X54-X64</f>
        <v>0</v>
      </c>
      <c r="Y70" s="179">
        <f>Y54-Y64</f>
        <v>0</v>
      </c>
    </row>
  </sheetData>
  <mergeCells count="84">
    <mergeCell ref="N61:Y61"/>
    <mergeCell ref="I62:L62"/>
    <mergeCell ref="N67:Y67"/>
    <mergeCell ref="I57:L57"/>
    <mergeCell ref="I58:L58"/>
    <mergeCell ref="I59:L59"/>
    <mergeCell ref="C60:F60"/>
    <mergeCell ref="I60:L60"/>
    <mergeCell ref="I61:L61"/>
    <mergeCell ref="C54:F54"/>
    <mergeCell ref="I54:J54"/>
    <mergeCell ref="K54:L54"/>
    <mergeCell ref="I55:J55"/>
    <mergeCell ref="K55:L55"/>
    <mergeCell ref="N55:Y55"/>
    <mergeCell ref="I51:J51"/>
    <mergeCell ref="K51:L51"/>
    <mergeCell ref="I52:J52"/>
    <mergeCell ref="K52:L52"/>
    <mergeCell ref="I53:J53"/>
    <mergeCell ref="K53:L53"/>
    <mergeCell ref="C50:F50"/>
    <mergeCell ref="I50:J50"/>
    <mergeCell ref="K50:L50"/>
    <mergeCell ref="C37:F37"/>
    <mergeCell ref="N37:Y37"/>
    <mergeCell ref="F40:F41"/>
    <mergeCell ref="C42:F42"/>
    <mergeCell ref="H43:L43"/>
    <mergeCell ref="N43:Y43"/>
    <mergeCell ref="A49:F49"/>
    <mergeCell ref="N49:Y49"/>
    <mergeCell ref="A40:A41"/>
    <mergeCell ref="B40:B41"/>
    <mergeCell ref="C40:C41"/>
    <mergeCell ref="D40:D41"/>
    <mergeCell ref="E40:E41"/>
    <mergeCell ref="C32:F32"/>
    <mergeCell ref="N32:Y32"/>
    <mergeCell ref="A35:A36"/>
    <mergeCell ref="B35:B36"/>
    <mergeCell ref="C35:C36"/>
    <mergeCell ref="D35:D36"/>
    <mergeCell ref="E35:E36"/>
    <mergeCell ref="F35:F36"/>
    <mergeCell ref="C27:F27"/>
    <mergeCell ref="N27:Y27"/>
    <mergeCell ref="A30:A31"/>
    <mergeCell ref="B30:B31"/>
    <mergeCell ref="C30:C31"/>
    <mergeCell ref="D30:D31"/>
    <mergeCell ref="E30:E31"/>
    <mergeCell ref="F30:F31"/>
    <mergeCell ref="A21:B21"/>
    <mergeCell ref="C22:F22"/>
    <mergeCell ref="N22:Y22"/>
    <mergeCell ref="A25:A26"/>
    <mergeCell ref="B25:B26"/>
    <mergeCell ref="C25:C26"/>
    <mergeCell ref="D25:D26"/>
    <mergeCell ref="E25:E26"/>
    <mergeCell ref="F25:F26"/>
    <mergeCell ref="C9:F9"/>
    <mergeCell ref="H9:L9"/>
    <mergeCell ref="N9:Y9"/>
    <mergeCell ref="C15:F15"/>
    <mergeCell ref="H15:L15"/>
    <mergeCell ref="N15:Y15"/>
    <mergeCell ref="C4:F4"/>
    <mergeCell ref="N4:Y4"/>
    <mergeCell ref="A7:A8"/>
    <mergeCell ref="B7:B8"/>
    <mergeCell ref="C7:C8"/>
    <mergeCell ref="D7:D8"/>
    <mergeCell ref="E7:E8"/>
    <mergeCell ref="F7:F8"/>
    <mergeCell ref="C1:K1"/>
    <mergeCell ref="N1:Y1"/>
    <mergeCell ref="A2:A3"/>
    <mergeCell ref="B2:B3"/>
    <mergeCell ref="C2:C3"/>
    <mergeCell ref="D2:E2"/>
    <mergeCell ref="F2:F3"/>
    <mergeCell ref="H2:L2"/>
  </mergeCells>
  <conditionalFormatting sqref="G63 F18:G18 F35:G35 F40:G40 F12:G12 F25:G25 F45:G45 G53 G57 F30:G30">
    <cfRule type="cellIs" dxfId="2" priority="2" stopIfTrue="1" operator="notEqual">
      <formula>F10+F11</formula>
    </cfRule>
  </conditionalFormatting>
  <conditionalFormatting sqref="H31">
    <cfRule type="expression" dxfId="1" priority="3" stopIfTrue="1">
      <formula>F31&lt;&gt;SUM(I27:I31)</formula>
    </cfRule>
  </conditionalFormatting>
  <conditionalFormatting sqref="F63 F53 F57">
    <cfRule type="cellIs" dxfId="0" priority="1" stopIfTrue="1" operator="notEqual">
      <formula>F51+F52</formula>
    </cfRule>
  </conditionalFormatting>
  <printOptions horizontalCentered="1" verticalCentered="1"/>
  <pageMargins left="0" right="0" top="0" bottom="0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3</vt:i4>
      </vt:variant>
    </vt:vector>
  </HeadingPairs>
  <TitlesOfParts>
    <vt:vector size="11" baseType="lpstr">
      <vt:lpstr>OZ</vt:lpstr>
      <vt:lpstr>graf OZ</vt:lpstr>
      <vt:lpstr>Šaštín</vt:lpstr>
      <vt:lpstr>Holíč</vt:lpstr>
      <vt:lpstr>Mor. Ján</vt:lpstr>
      <vt:lpstr>Lozorno</vt:lpstr>
      <vt:lpstr>Sološnica</vt:lpstr>
      <vt:lpstr>Stupava</vt:lpstr>
      <vt:lpstr>Holíč!Oblasť_tlače</vt:lpstr>
      <vt:lpstr>'Mor. Ján'!Oblasť_tlače</vt:lpstr>
      <vt:lpstr>OZ!Oblasť_tlače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robert.smolarcik</dc:creator>
  <cp:lastModifiedBy>Martina.Ondrejkova</cp:lastModifiedBy>
  <cp:lastPrinted>2018-08-27T10:55:52Z</cp:lastPrinted>
  <dcterms:created xsi:type="dcterms:W3CDTF">2012-01-24T06:00:40Z</dcterms:created>
  <dcterms:modified xsi:type="dcterms:W3CDTF">2018-11-08T08:45:19Z</dcterms:modified>
</cp:coreProperties>
</file>